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0" yWindow="0" windowWidth="19200" windowHeight="11325" tabRatio="847"/>
  </bookViews>
  <sheets>
    <sheet name="Sommaire" sheetId="1" r:id="rId1"/>
    <sheet name="Assurance" sheetId="3" r:id="rId2"/>
    <sheet name="Coordonnées" sheetId="2" r:id="rId3"/>
    <sheet name="Cotisation" sheetId="4" r:id="rId4"/>
    <sheet name="Autorisations" sheetId="5" r:id="rId5"/>
    <sheet name="Imprimé" sheetId="6" r:id="rId6"/>
    <sheet name="Admin" sheetId="7" state="hidden" r:id="rId7"/>
    <sheet name="justif CE" sheetId="9" state="hidden" r:id="rId8"/>
  </sheets>
  <definedNames>
    <definedName name="Paramètres">Admin!$B$10:$E$34</definedName>
    <definedName name="Tarifs">Cotisation!$B$10:$D$10</definedName>
    <definedName name="_xlnm.Print_Area" localSheetId="1">Assurance!$A$1:$L$68</definedName>
    <definedName name="_xlnm.Print_Area" localSheetId="4">Autorisations!$A$1:$K$25</definedName>
    <definedName name="_xlnm.Print_Area" localSheetId="2">Coordonnées!$A$1:$L$64</definedName>
    <definedName name="_xlnm.Print_Area" localSheetId="3">Cotisation!$A$1:$J$56</definedName>
    <definedName name="_xlnm.Print_Area" localSheetId="5">Imprimé!$A$1:$AF$80</definedName>
    <definedName name="_xlnm.Print_Area" localSheetId="7">'justif CE'!$A$1:$AF$64</definedName>
    <definedName name="_xlnm.Print_Area" localSheetId="0">Sommaire!$A$1:$P$53</definedName>
  </definedNames>
  <calcPr calcId="125725"/>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76" i="6"/>
  <c r="I37" i="4" l="1"/>
  <c r="N48" i="2"/>
  <c r="AR39" i="7"/>
  <c r="AR40"/>
  <c r="M65" i="6"/>
  <c r="M37" i="4"/>
  <c r="E37"/>
  <c r="N37" s="1"/>
  <c r="E36"/>
  <c r="E35"/>
  <c r="P26" i="2"/>
  <c r="N36" i="4" l="1"/>
  <c r="P2" i="2"/>
  <c r="D11" i="7"/>
  <c r="F40" i="1" s="1"/>
  <c r="N2"/>
  <c r="R41" l="1"/>
  <c r="C41" s="1"/>
  <c r="M36" i="4"/>
  <c r="M38"/>
  <c r="M39"/>
  <c r="M40"/>
  <c r="M35"/>
  <c r="AC39" i="7" l="1"/>
  <c r="W39"/>
  <c r="AA39"/>
  <c r="Y39"/>
  <c r="C44" i="1"/>
  <c r="C43"/>
  <c r="C42"/>
  <c r="AU39" i="7"/>
  <c r="AT39"/>
  <c r="AS39"/>
  <c r="AQ39"/>
  <c r="AP39"/>
  <c r="AT40"/>
  <c r="AS40"/>
  <c r="P69" i="6"/>
  <c r="P70"/>
  <c r="C71"/>
  <c r="C70"/>
  <c r="C69"/>
  <c r="I45" i="4"/>
  <c r="E38"/>
  <c r="I38" s="1"/>
  <c r="P40" i="7"/>
  <c r="L16" i="4"/>
  <c r="J25" i="3"/>
  <c r="N38" i="4" l="1"/>
  <c r="B10"/>
  <c r="B11"/>
  <c r="H12"/>
  <c r="G12"/>
  <c r="F12"/>
  <c r="D8" i="6"/>
  <c r="Z10"/>
  <c r="AA8"/>
  <c r="T8"/>
  <c r="C8"/>
  <c r="H40" i="7"/>
  <c r="G40"/>
  <c r="F40"/>
  <c r="E40"/>
  <c r="N11" i="2"/>
  <c r="N10"/>
  <c r="N9"/>
  <c r="AA12" i="6"/>
  <c r="T40" i="7"/>
  <c r="M12" i="6"/>
  <c r="N40" i="7"/>
  <c r="N20" i="2"/>
  <c r="P71" i="6"/>
  <c r="H12"/>
  <c r="M64"/>
  <c r="M63"/>
  <c r="L21" i="9"/>
  <c r="G35" l="1"/>
  <c r="F64"/>
  <c r="Q21"/>
  <c r="E40" i="4"/>
  <c r="E39"/>
  <c r="I36"/>
  <c r="K40" i="7"/>
  <c r="J45" i="1" l="1"/>
  <c r="I40" i="4"/>
  <c r="I39"/>
  <c r="I35"/>
  <c r="K8" i="6"/>
  <c r="E11"/>
  <c r="E21"/>
  <c r="N50" i="2"/>
  <c r="N45"/>
  <c r="N46" s="1"/>
  <c r="I43" i="4" l="1"/>
  <c r="J44" i="1" s="1"/>
  <c r="N47" i="2"/>
  <c r="B40" i="1" s="1"/>
  <c r="C78" i="6" s="1"/>
  <c r="N54" i="2"/>
  <c r="T20" s="1"/>
  <c r="N53"/>
  <c r="N52"/>
  <c r="N51"/>
  <c r="M50" i="4"/>
  <c r="M48"/>
  <c r="M45"/>
  <c r="M46" s="1"/>
  <c r="M44"/>
  <c r="AG40" i="7"/>
  <c r="A40"/>
  <c r="I40"/>
  <c r="J40"/>
  <c r="L40"/>
  <c r="M40"/>
  <c r="AK40"/>
  <c r="AL40"/>
  <c r="AM40"/>
  <c r="AO40"/>
  <c r="AQ40"/>
  <c r="AP40"/>
  <c r="AU40"/>
  <c r="AV40"/>
  <c r="AW40"/>
  <c r="AX40"/>
  <c r="AY40"/>
  <c r="AZ40"/>
  <c r="BA40"/>
  <c r="BB40"/>
  <c r="BC40"/>
  <c r="BL40"/>
  <c r="BK40"/>
  <c r="T21" i="2" l="1"/>
  <c r="T45" s="1"/>
  <c r="T22"/>
  <c r="T46" s="1"/>
  <c r="R21"/>
  <c r="R45" s="1"/>
  <c r="R22"/>
  <c r="R46" s="1"/>
  <c r="R20"/>
  <c r="R44" s="1"/>
  <c r="T44"/>
  <c r="R3"/>
  <c r="R27" s="1"/>
  <c r="R7"/>
  <c r="R31" s="1"/>
  <c r="AN40" i="7"/>
  <c r="M47" i="4"/>
  <c r="R9" i="2"/>
  <c r="R33" s="1"/>
  <c r="R10"/>
  <c r="R34" s="1"/>
  <c r="R5"/>
  <c r="R29" s="1"/>
  <c r="R11"/>
  <c r="R35" s="1"/>
  <c r="R6"/>
  <c r="R30" s="1"/>
  <c r="R17"/>
  <c r="R41" s="1"/>
  <c r="R12"/>
  <c r="R36" s="1"/>
  <c r="R8"/>
  <c r="R32" s="1"/>
  <c r="R4"/>
  <c r="R28" s="1"/>
  <c r="R14"/>
  <c r="R38" s="1"/>
  <c r="R13"/>
  <c r="R37" s="1"/>
  <c r="R18"/>
  <c r="R42" s="1"/>
  <c r="R16"/>
  <c r="R40" s="1"/>
  <c r="R23"/>
  <c r="R19"/>
  <c r="R43" s="1"/>
  <c r="R15"/>
  <c r="R39" s="1"/>
  <c r="M52" i="4"/>
  <c r="M53"/>
  <c r="M51"/>
  <c r="N49" i="2" l="1"/>
  <c r="D47" s="1"/>
  <c r="R47"/>
  <c r="M49" i="4"/>
  <c r="AJ40" i="7" l="1"/>
  <c r="T12" i="6"/>
  <c r="Q40" i="7" l="1"/>
  <c r="D40"/>
  <c r="B40"/>
  <c r="S22" i="6" l="1"/>
  <c r="G22"/>
  <c r="O21"/>
  <c r="N40" i="4" l="1"/>
  <c r="N39"/>
  <c r="N35"/>
  <c r="N39" i="2"/>
  <c r="N41" i="4" l="1"/>
  <c r="H51" i="6"/>
  <c r="C59" l="1"/>
  <c r="X18"/>
  <c r="N25" i="3" l="1"/>
  <c r="N3"/>
  <c r="N2" s="1"/>
  <c r="N13" i="2" l="1"/>
  <c r="C63" i="6"/>
  <c r="E23" i="1" l="1"/>
  <c r="O41" i="4" l="1"/>
  <c r="S40" i="7" l="1"/>
  <c r="Y5" i="6"/>
  <c r="L21" i="4" l="1"/>
  <c r="C40" i="7"/>
  <c r="L14" i="4"/>
  <c r="C64" i="6"/>
  <c r="K23" i="1"/>
  <c r="M3" i="4" l="1"/>
  <c r="B53" s="1"/>
  <c r="X3" i="6"/>
  <c r="M23" i="1"/>
  <c r="Q23" s="1"/>
  <c r="P28" i="9"/>
  <c r="F12" i="6"/>
  <c r="N41" i="2"/>
  <c r="M1"/>
  <c r="G11" i="4" l="1"/>
  <c r="C40" i="6"/>
  <c r="H11" i="4"/>
  <c r="F11"/>
  <c r="G10"/>
  <c r="H10"/>
  <c r="F10"/>
  <c r="H24" i="2"/>
  <c r="L23" i="9" s="1"/>
  <c r="D24" i="2"/>
  <c r="E23" i="9" s="1"/>
  <c r="X2" i="6"/>
  <c r="B30" i="2"/>
  <c r="B33"/>
  <c r="B27"/>
  <c r="D30"/>
  <c r="C44" i="6"/>
  <c r="F80"/>
  <c r="Z27"/>
  <c r="Z26"/>
  <c r="Z25"/>
  <c r="X11"/>
  <c r="M10"/>
  <c r="G10"/>
  <c r="F9"/>
  <c r="O8"/>
  <c r="N8"/>
  <c r="M4" i="5"/>
  <c r="M6"/>
  <c r="M5"/>
  <c r="E21" i="3"/>
  <c r="E20"/>
  <c r="N15" i="2"/>
  <c r="N19"/>
  <c r="N38"/>
  <c r="N18"/>
  <c r="N17"/>
  <c r="N16"/>
  <c r="N37"/>
  <c r="N14"/>
  <c r="N12"/>
  <c r="N8"/>
  <c r="N7"/>
  <c r="N6"/>
  <c r="N5"/>
  <c r="N4"/>
  <c r="N3"/>
  <c r="E12" i="4" l="1"/>
  <c r="E11"/>
  <c r="E10"/>
  <c r="H23" i="9"/>
  <c r="E15" i="6"/>
  <c r="C30" s="1"/>
  <c r="BH40" i="7"/>
  <c r="BI40"/>
  <c r="O15" i="6"/>
  <c r="G17"/>
  <c r="BE40" i="7"/>
  <c r="C46" i="6"/>
  <c r="BJ40" i="7"/>
  <c r="N17" i="6"/>
  <c r="F16"/>
  <c r="BG40" i="7"/>
  <c r="N24" i="2"/>
  <c r="BF40" i="7"/>
  <c r="N23" i="2"/>
  <c r="BD40" i="7"/>
  <c r="N27" i="2"/>
  <c r="N28"/>
  <c r="N29"/>
  <c r="E18" i="6"/>
  <c r="N25" i="2"/>
  <c r="N35"/>
  <c r="N26"/>
  <c r="T46" i="6"/>
  <c r="M46"/>
  <c r="M34" i="4"/>
  <c r="D53" s="1"/>
  <c r="AE40" i="7"/>
  <c r="AC40"/>
  <c r="M3" i="5"/>
  <c r="M29" i="1"/>
  <c r="Q29" s="1"/>
  <c r="D64" i="3"/>
  <c r="I14" i="4" l="1"/>
  <c r="U28" i="9" s="1"/>
  <c r="N2" i="2"/>
  <c r="B60" s="1"/>
  <c r="M25" i="1" s="1"/>
  <c r="Q25" s="1"/>
  <c r="C37" i="6"/>
  <c r="B45" i="1"/>
  <c r="C77" i="6" s="1"/>
  <c r="B64" i="3"/>
  <c r="M27" i="1" s="1"/>
  <c r="V40" i="7" l="1"/>
  <c r="T33" i="6"/>
  <c r="C33"/>
  <c r="M33"/>
  <c r="B44" i="1"/>
  <c r="M1" i="4"/>
  <c r="Q27" i="1"/>
  <c r="D20" i="5"/>
  <c r="B20" l="1"/>
  <c r="M31" i="1" s="1"/>
  <c r="Q31" s="1"/>
  <c r="Q21" s="1"/>
  <c r="J43" s="1"/>
  <c r="J41" l="1"/>
  <c r="J42"/>
  <c r="B43"/>
  <c r="X4" i="6"/>
  <c r="O40" i="7" s="1"/>
  <c r="B41" i="1" l="1"/>
  <c r="AA40" i="7"/>
  <c r="Y40"/>
  <c r="B42" i="1"/>
  <c r="J46"/>
  <c r="W40" i="7"/>
  <c r="C75" i="6" l="1"/>
  <c r="D60" i="2"/>
</calcChain>
</file>

<file path=xl/sharedStrings.xml><?xml version="1.0" encoding="utf-8"?>
<sst xmlns="http://schemas.openxmlformats.org/spreadsheetml/2006/main" count="490" uniqueCount="329">
  <si>
    <t>Fiche d'Adhésion</t>
  </si>
  <si>
    <t>Année</t>
  </si>
  <si>
    <t>Assistance:</t>
  </si>
  <si>
    <t>estelle-joly@orange.fr</t>
  </si>
  <si>
    <t>Comment remplir la fiche ?</t>
  </si>
  <si>
    <t>Suivez les instructions (à partir de la ligne 20) en prenant soin de renseigner toutes les informations nécessaires.</t>
  </si>
  <si>
    <t>Pour que ce soit plus facile:</t>
  </si>
  <si>
    <r>
      <rPr>
        <sz val="10"/>
        <color theme="10"/>
        <rFont val="Arial"/>
        <family val="2"/>
      </rPr>
      <t xml:space="preserve"> </t>
    </r>
    <r>
      <rPr>
        <sz val="11"/>
        <rFont val="Arial"/>
        <family val="2"/>
      </rPr>
      <t>Utilisez les hyperliens (</t>
    </r>
    <r>
      <rPr>
        <u/>
        <sz val="11"/>
        <color theme="10"/>
        <rFont val="Arial"/>
        <family val="2"/>
      </rPr>
      <t>en bleu, souligné</t>
    </r>
    <r>
      <rPr>
        <sz val="11"/>
        <rFont val="Arial"/>
        <family val="2"/>
      </rPr>
      <t>) ou les onglets pour accéder aux différents formulaires.</t>
    </r>
  </si>
  <si>
    <t xml:space="preserve"> Contrôlez sur cette page que les différentes étapes sont bien réalisées (les statuts à droite en rouge passent au vert).</t>
  </si>
  <si>
    <t xml:space="preserve"> Dans tous les formulaires, les zones à remplir sont indiquées de la manière suivantes (fond jaune):</t>
  </si>
  <si>
    <t>Zone de saisie obligatoire</t>
  </si>
  <si>
    <t>Zone de saisie optionnelle</t>
  </si>
  <si>
    <t xml:space="preserve"> Dans certaines zones, une aide à la saisie est proposée: cliquez sur la flèche        qui apparaît à droite de la zone</t>
  </si>
  <si>
    <t>Instructions</t>
  </si>
  <si>
    <t>Statut</t>
  </si>
  <si>
    <t>Indiquez le type d'adhésion:</t>
  </si>
  <si>
    <t>Renseignez les 4 rubriques suivantes:</t>
  </si>
  <si>
    <t>Coordonnées</t>
  </si>
  <si>
    <t>Assurance</t>
  </si>
  <si>
    <t>Cotisation &amp; Location de matériel</t>
  </si>
  <si>
    <t>Autorisations &amp; Justificatifs</t>
  </si>
  <si>
    <t>Enregistrez le fichier et envoyez-le fichier par mail à l'adresse suivante:</t>
  </si>
  <si>
    <t>Imprimez la fiche récapitulative et signez-la:</t>
  </si>
  <si>
    <t>Fiche récapitulative à imprimer</t>
  </si>
  <si>
    <t>Si vous avez gardé du matériel de location de la saison précédente, indiquez les références (marque/numéro) au crayon sur la fiche imprimée.</t>
  </si>
  <si>
    <r>
      <rPr>
        <b/>
        <sz val="11"/>
        <rFont val="Arial"/>
        <family val="2"/>
      </rPr>
      <t>chèque de caution</t>
    </r>
    <r>
      <rPr>
        <sz val="11"/>
        <rFont val="Arial"/>
        <family val="2"/>
      </rPr>
      <t xml:space="preserve"> (non encaissée) pour la location de la tenue</t>
    </r>
  </si>
  <si>
    <r>
      <t xml:space="preserve">Total pour l'année </t>
    </r>
    <r>
      <rPr>
        <sz val="11"/>
        <rFont val="Arial"/>
        <family val="2"/>
      </rPr>
      <t>(hors caution)</t>
    </r>
  </si>
  <si>
    <t>Merci d'indiquer au dos de chaque chèque:</t>
  </si>
  <si>
    <t>- le nom de l'adhérent (surtout si différent du nom porté sur le chèque)</t>
  </si>
  <si>
    <t>Revenir au sommaire</t>
  </si>
  <si>
    <t>Champs obligatoires</t>
  </si>
  <si>
    <t>Choix</t>
  </si>
  <si>
    <t>Informations</t>
  </si>
  <si>
    <t>La Fédération Française d'Escrime vous assure pendant la pratique de l’escrime contre les conséquences financières des dommages corporels et matériels que vous causez à un tiers (Responsabilité civile). La FFE vous conseille fortement de vous assurer également contre les risques d’accidents corporels dont vous pouvez être victime lors de la pratique de l’escrime (Garantie Individuelle Accident).
Outre la garantie de base, la FFE vous propose l'option " + " qui permettent d’améliorer votre couverture assurance en cas de décès, d’invalidité, ou d’arrêt de travail.</t>
  </si>
  <si>
    <t>Une documentation complète est disponible sur le site internet de la Fédération Française d'Escrime</t>
  </si>
  <si>
    <t>http://www.escrime-ffe.fr/assurances/assurance-et-declaration-d-accident</t>
  </si>
  <si>
    <t>Coût des options (supplément)</t>
  </si>
  <si>
    <t>Option de base</t>
  </si>
  <si>
    <t>(incluse dans la licence)</t>
  </si>
  <si>
    <t>Option +</t>
  </si>
  <si>
    <t>Choix d'une assurance</t>
  </si>
  <si>
    <t>Votre choix:</t>
  </si>
  <si>
    <t>Coût associé</t>
  </si>
  <si>
    <t>Certificat médical</t>
  </si>
  <si>
    <t>Pour les nouveaux adhérents, le certificat médical doit dater de moins d'1 an à la date d'inscription.</t>
  </si>
  <si>
    <t>Qui est complété par une attestation pour valider l'inscription au sein du club,</t>
  </si>
  <si>
    <t xml:space="preserve">Lorsque la licence sollicitée permet la participation aux compétitions, </t>
  </si>
  <si>
    <t>le certificat médical doit comporter la mention « en compétition ».</t>
  </si>
  <si>
    <t xml:space="preserve">Une documentation complète est disponible sur le site internet du club : </t>
  </si>
  <si>
    <t>http://www.club-herblinois-escrime.fr/tarifs.html</t>
  </si>
  <si>
    <t>Surclassement</t>
  </si>
  <si>
    <t>Du fait de l’évolution de la réglementation relative au certificat médical d’absence de contre-indication, la demande</t>
  </si>
  <si>
    <t>de tout surclassement (simple, double) requiert l’utilisation d’un formulaire spécifique, valable pour une saison</t>
  </si>
  <si>
    <t>sportive.</t>
  </si>
  <si>
    <r>
      <t xml:space="preserve">- Pour le </t>
    </r>
    <r>
      <rPr>
        <b/>
        <sz val="11"/>
        <rFont val="Arial"/>
        <family val="2"/>
      </rPr>
      <t>simple surclassement</t>
    </r>
    <r>
      <rPr>
        <sz val="11"/>
        <rFont val="Arial"/>
        <family val="2"/>
      </rPr>
      <t xml:space="preserve"> (participation à des compétitions dans la catégorie immédiatement supérieure). Le</t>
    </r>
  </si>
  <si>
    <t>simple surclassement n’est possible qu’à partir de la catégorie M11 2 année.</t>
  </si>
  <si>
    <r>
      <t xml:space="preserve"> Les </t>
    </r>
    <r>
      <rPr>
        <b/>
        <sz val="11"/>
        <rFont val="Arial"/>
        <family val="2"/>
      </rPr>
      <t xml:space="preserve">doubles surclassements </t>
    </r>
    <r>
      <rPr>
        <sz val="11"/>
        <rFont val="Arial"/>
        <family val="2"/>
      </rPr>
      <t>ne s’appliquent que pour les catégories M15 et M17, pour des jeunes escrimeurs</t>
    </r>
  </si>
  <si>
    <t>ayant un potentiel physique, psychologique et technique prometteur et imposent le respect de la procédure</t>
  </si>
  <si>
    <t>suivante :</t>
  </si>
  <si>
    <t>- Utilisation du « formulaire de double surclassement », rempli par un médecin du sport (*) ou dans un centre</t>
  </si>
  <si>
    <t>médico-sportif</t>
  </si>
  <si>
    <t>- Autorisation parentale</t>
  </si>
  <si>
    <t>- Avis du cadre technique</t>
  </si>
  <si>
    <t>Documentation complète et modèle sont disponibles sur le site internet de la Fédération Française d'Escrime</t>
  </si>
  <si>
    <t>Statut du formulaire</t>
  </si>
  <si>
    <t>Rubrique suivante</t>
  </si>
  <si>
    <t>Tableau des catégories</t>
  </si>
  <si>
    <t>Civilité</t>
  </si>
  <si>
    <t>et</t>
  </si>
  <si>
    <t>avant</t>
  </si>
  <si>
    <t>Coordonnées de l'adhérent</t>
  </si>
  <si>
    <t>Nom</t>
  </si>
  <si>
    <t>à</t>
  </si>
  <si>
    <t>Prénom</t>
  </si>
  <si>
    <t>Date de naissance</t>
  </si>
  <si>
    <t>Naissance</t>
  </si>
  <si>
    <t>Adresse</t>
  </si>
  <si>
    <t xml:space="preserve">et </t>
  </si>
  <si>
    <t>JJ/MM/AAAA</t>
  </si>
  <si>
    <t>Code postal</t>
  </si>
  <si>
    <t>M20</t>
  </si>
  <si>
    <t>Ville</t>
  </si>
  <si>
    <t>Email</t>
  </si>
  <si>
    <t>M17</t>
  </si>
  <si>
    <t>Blason</t>
  </si>
  <si>
    <t>M15</t>
  </si>
  <si>
    <t>Téléphone</t>
  </si>
  <si>
    <t>Téléphone 1</t>
  </si>
  <si>
    <t>M13</t>
  </si>
  <si>
    <t>Années de pratique</t>
  </si>
  <si>
    <t>M11</t>
  </si>
  <si>
    <t>Si mineur, coordonnées obligatoires du représentant(e) legal(e)</t>
  </si>
  <si>
    <t>M9</t>
  </si>
  <si>
    <t>M5</t>
  </si>
  <si>
    <t>Coordonnées de la personne à prévenir en cas d'urgence</t>
  </si>
  <si>
    <t>Champs optionnels</t>
  </si>
  <si>
    <t>Téléphone 2</t>
  </si>
  <si>
    <t>Téléphone  représentant</t>
  </si>
  <si>
    <t>Observations</t>
  </si>
  <si>
    <t>Pratique de l'escrime</t>
  </si>
  <si>
    <t>Nombre d'années de pratique</t>
  </si>
  <si>
    <t>Année de naissance</t>
  </si>
  <si>
    <t>Catégorie</t>
  </si>
  <si>
    <t>Age</t>
  </si>
  <si>
    <t>Date du jour</t>
  </si>
  <si>
    <t>Observations particulières</t>
  </si>
  <si>
    <t>Renouvellement adhésion</t>
  </si>
  <si>
    <t>Indiquez ici toute information à porter à l'attention des enseignants (traitement, allergie, etc)</t>
  </si>
  <si>
    <t>Année d'aujourd'hui +1</t>
  </si>
  <si>
    <t>Année d'aujourd'hui -1</t>
  </si>
  <si>
    <t>Néant</t>
  </si>
  <si>
    <t>Année d'aujourd'hui</t>
  </si>
  <si>
    <t>Années pour le calcul automatique des catégories</t>
  </si>
  <si>
    <t>Débutant</t>
  </si>
  <si>
    <t>Cotisation &amp; Location</t>
  </si>
  <si>
    <t>Obligatoire</t>
  </si>
  <si>
    <t>Cotisation</t>
  </si>
  <si>
    <t>Tarif</t>
  </si>
  <si>
    <t>Pass Compétition</t>
  </si>
  <si>
    <t>Soutaihez-vous recevoir un justificatif pour votre CE ?</t>
  </si>
  <si>
    <t>Matériel</t>
  </si>
  <si>
    <t>Adultes</t>
  </si>
  <si>
    <t>Autres</t>
  </si>
  <si>
    <t>Votre sélection</t>
  </si>
  <si>
    <t>Champs optionnel</t>
  </si>
  <si>
    <t>Gant</t>
  </si>
  <si>
    <t>Montant package</t>
  </si>
  <si>
    <t>Montant total de la location</t>
  </si>
  <si>
    <r>
      <t xml:space="preserve">Montant de la caution </t>
    </r>
    <r>
      <rPr>
        <sz val="11"/>
        <color rgb="FF3F3F3F"/>
        <rFont val="Calibri"/>
        <family val="2"/>
        <scheme val="minor"/>
      </rPr>
      <t>(non encaissée)</t>
    </r>
  </si>
  <si>
    <t>Informations complémentaires</t>
  </si>
  <si>
    <t>Ans</t>
  </si>
  <si>
    <t>Ancien adhérent</t>
  </si>
  <si>
    <t>Autorisations</t>
  </si>
  <si>
    <t>Bureau</t>
  </si>
  <si>
    <t>Site</t>
  </si>
  <si>
    <t>J'accepte de recevoir des informations par email de la part du bureau du CHE et des enseignants (évènements, compétitions, etc)</t>
  </si>
  <si>
    <t>Photos</t>
  </si>
  <si>
    <t>J'accepte de recevoir par email une lettre d'informations contenant les nouveaux articles publiés sur le site du CHE (désabonnement possible ensuite sur simple demande) (1)</t>
  </si>
  <si>
    <t>J'accepte que des photos ou des vidéos me représentant (ou représentant mon enfant) lors des entraînements ou des compétitions soient publiées sur le site internet ou le facebook du club.</t>
  </si>
  <si>
    <t>(1) Cette fonctionnalité n'est pas encore disponible mais est en cours de développement.</t>
  </si>
  <si>
    <t>Fiche d'Adhésion Electronique</t>
  </si>
  <si>
    <t>Type</t>
  </si>
  <si>
    <t>Justif. CE</t>
  </si>
  <si>
    <t>Adhérent</t>
  </si>
  <si>
    <t>Mail :</t>
  </si>
  <si>
    <t>Téléphone :</t>
  </si>
  <si>
    <t>Pratique :</t>
  </si>
  <si>
    <t xml:space="preserve">Catégorie : </t>
  </si>
  <si>
    <t>Coordonnées représentant legal</t>
  </si>
  <si>
    <t>Personne à prévenir en cas d'urgence</t>
  </si>
  <si>
    <t>Téléphone 1 :</t>
  </si>
  <si>
    <t>Téléphone 2 :</t>
  </si>
  <si>
    <t>Informations par mail de la part du club</t>
  </si>
  <si>
    <t>Lettre d'information du site internet du club</t>
  </si>
  <si>
    <t>Photos et vidéos de l'adhérent sur le site internet du club</t>
  </si>
  <si>
    <t>Autorisation parentale (pour les mineurs)</t>
  </si>
  <si>
    <t>Nouvel adhérent :</t>
  </si>
  <si>
    <t>Date certificat initial :</t>
  </si>
  <si>
    <t>Demande de surclassement ou  doublement surclassement</t>
  </si>
  <si>
    <t xml:space="preserve">Date visite médicale : </t>
  </si>
  <si>
    <t>Indication sur toute information à porter à l'attention des enseignants (traitement, allergie, etc)</t>
  </si>
  <si>
    <t>Location de matériel</t>
  </si>
  <si>
    <t>Quantité</t>
  </si>
  <si>
    <t>N°</t>
  </si>
  <si>
    <t>Marque</t>
  </si>
  <si>
    <t>A remplir 
par l'adhérent</t>
  </si>
  <si>
    <t>Date restitution au club</t>
  </si>
  <si>
    <t>Achat de matériel</t>
  </si>
  <si>
    <t>Taile</t>
  </si>
  <si>
    <t>Gaucher/Droitier</t>
  </si>
  <si>
    <t>Documents joints</t>
  </si>
  <si>
    <t>Date réception</t>
  </si>
  <si>
    <t>Imprimé le</t>
  </si>
  <si>
    <t>Page 1/1</t>
  </si>
  <si>
    <t>Procédure de mise à jour de la FAE pour une nouvelle année</t>
  </si>
  <si>
    <t>Mettre à jour les tarifs  de location(onglet cotisations)</t>
  </si>
  <si>
    <t>Mettre à jour les paramètres ci-dessous</t>
  </si>
  <si>
    <t>Mettre à jour la date de certificat médical (onglet imprimé)</t>
  </si>
  <si>
    <t>Paramètres</t>
  </si>
  <si>
    <t>Année passée</t>
  </si>
  <si>
    <t>Cotis. base chèque 1</t>
  </si>
  <si>
    <t>Cotis. base chèque 2</t>
  </si>
  <si>
    <t>Cotis. base chèque 3</t>
  </si>
  <si>
    <t>Achat sous cuirasse 800N ado/adulte</t>
  </si>
  <si>
    <t>Ligne à copier dans le fichier central</t>
  </si>
  <si>
    <t>Coordonnées adhérent</t>
  </si>
  <si>
    <t>Dossier</t>
  </si>
  <si>
    <t>Suivi</t>
  </si>
  <si>
    <t>Justificatifs</t>
  </si>
  <si>
    <t>Niveau d'escrime</t>
  </si>
  <si>
    <t>Paiement</t>
  </si>
  <si>
    <t>Location matériel</t>
  </si>
  <si>
    <t>Achat matériel</t>
  </si>
  <si>
    <t>Coordonnées personne en cas d'urgence</t>
  </si>
  <si>
    <t>Coordonnées du représentant légale pour un mineur</t>
  </si>
  <si>
    <t>Sexe</t>
  </si>
  <si>
    <t>CP</t>
  </si>
  <si>
    <t>Teléphonne</t>
  </si>
  <si>
    <t>Renouvellement</t>
  </si>
  <si>
    <t>Pré-inscrit</t>
  </si>
  <si>
    <t>Licence</t>
  </si>
  <si>
    <t>Bordereau</t>
  </si>
  <si>
    <t>Montant</t>
  </si>
  <si>
    <t>Encaissé</t>
  </si>
  <si>
    <t>Cheque caution</t>
  </si>
  <si>
    <t>Justificatif CE</t>
  </si>
  <si>
    <t>Certif. Médical</t>
  </si>
  <si>
    <t>Pratique</t>
  </si>
  <si>
    <t>Prix assurance</t>
  </si>
  <si>
    <t>Email info</t>
  </si>
  <si>
    <t>Email Site</t>
  </si>
  <si>
    <t>Photos/vidéos</t>
  </si>
  <si>
    <t>Titre</t>
  </si>
  <si>
    <t>Révisions</t>
  </si>
  <si>
    <t>Version</t>
  </si>
  <si>
    <t>Date</t>
  </si>
  <si>
    <t>Auteur</t>
  </si>
  <si>
    <t>Modifications</t>
  </si>
  <si>
    <t>ch.escrime@orange.fr</t>
  </si>
  <si>
    <t>Création de la fiche d'inscription électronique CHE</t>
  </si>
  <si>
    <t>2.0</t>
  </si>
  <si>
    <t>Ajout du représentant légal pour mineur</t>
  </si>
  <si>
    <t>Ajout tarif sans license</t>
  </si>
  <si>
    <t>- à quoi correspond le chèque (cotisation n°1, cotisation n°2, cotisation n°3, location/achat, caution)</t>
  </si>
  <si>
    <t>Vétéran</t>
  </si>
  <si>
    <t>Sénior</t>
  </si>
  <si>
    <t>Attestation d'Inscription Licence Sportive</t>
  </si>
  <si>
    <t>Je soussigné Mademoiselle JOLY Estelle, présidente du Club d’Herblinois</t>
  </si>
  <si>
    <t>d’Escrime certifie que :</t>
  </si>
  <si>
    <t>est adhérent au Club Herblinois d’Escrime.</t>
  </si>
  <si>
    <t>Sa cotisation, pour la saison sportive</t>
  </si>
  <si>
    <t>de</t>
  </si>
  <si>
    <t>à été réglé.</t>
  </si>
  <si>
    <t>Le</t>
  </si>
  <si>
    <t xml:space="preserve">Présidente : </t>
  </si>
  <si>
    <t>Mlle JOLY Estelle</t>
  </si>
  <si>
    <t xml:space="preserve">Trésorier : </t>
  </si>
  <si>
    <t xml:space="preserve">Melle Joly Estelle, </t>
  </si>
  <si>
    <t xml:space="preserve">52 bis rue de l’Ancien Prieuré, </t>
  </si>
  <si>
    <t>44310 St Philbert-de-Grand-Lieu</t>
  </si>
  <si>
    <t>Mail : estelle-joly@orange.fr</t>
  </si>
  <si>
    <t>02 40 40 28 00</t>
  </si>
  <si>
    <t>06 14 70 30 06</t>
  </si>
  <si>
    <t>JOLY Estelle - 52 rue de l'ancien prieuré - 44310 Saint Philbert-de-Grand-Lieu</t>
  </si>
  <si>
    <t>Location masque + justif CE</t>
  </si>
  <si>
    <r>
      <rPr>
        <sz val="10"/>
        <color rgb="FF00B050"/>
        <rFont val="Arial"/>
        <family val="2"/>
      </rPr>
      <t>C</t>
    </r>
    <r>
      <rPr>
        <sz val="10"/>
        <rFont val="Arial"/>
        <family val="2"/>
      </rPr>
      <t xml:space="preserve">lub </t>
    </r>
    <r>
      <rPr>
        <sz val="10"/>
        <color rgb="FF00B050"/>
        <rFont val="Arial"/>
        <family val="2"/>
      </rPr>
      <t>H</t>
    </r>
    <r>
      <rPr>
        <sz val="10"/>
        <rFont val="Arial"/>
        <family val="2"/>
      </rPr>
      <t>erblinois d’</t>
    </r>
    <r>
      <rPr>
        <sz val="10"/>
        <color rgb="FF00B050"/>
        <rFont val="Arial"/>
        <family val="2"/>
      </rPr>
      <t>E</t>
    </r>
    <r>
      <rPr>
        <sz val="10"/>
        <rFont val="Arial"/>
        <family val="2"/>
      </rPr>
      <t xml:space="preserve">scrime, </t>
    </r>
  </si>
  <si>
    <t>https://www.escrime-ffe.fr/fr/ffe/vie-du-club-et-des-comites/certificats-medicaux-et-surclassements.html</t>
  </si>
  <si>
    <t>Envoyez-là à Melle JOLY avec les documents suivants:</t>
  </si>
  <si>
    <t>Cotis. Licence seul chèque 1</t>
  </si>
  <si>
    <t>Cotis. s.licence chèque 1</t>
  </si>
  <si>
    <t>Cotis. s.licence chèque 2</t>
  </si>
  <si>
    <t>Cotis. s.licence chèque 3</t>
  </si>
  <si>
    <t>Cotis. Licence seul chèque 2</t>
  </si>
  <si>
    <t>Cotis. Licence seul chèque 3</t>
  </si>
  <si>
    <t>(2) Pour les personnes qui s'entrainent dans un autre club en gardant la licence "CHE" (adhésion au club + licence).</t>
  </si>
  <si>
    <t>Main</t>
  </si>
  <si>
    <t>Main :</t>
  </si>
  <si>
    <t>Tarif licence seul + Main</t>
  </si>
  <si>
    <t>Mettre à jour les années a venir et passé (tableau paramètre onglet Admin)</t>
  </si>
  <si>
    <t>Ville de naissance</t>
  </si>
  <si>
    <t>Nationalité</t>
  </si>
  <si>
    <t>Pays de naissance</t>
  </si>
  <si>
    <t>en</t>
  </si>
  <si>
    <t>Nat :</t>
  </si>
  <si>
    <t>Cotis. reduc chèque 1</t>
  </si>
  <si>
    <t>Cotis. reduc chèque 2</t>
  </si>
  <si>
    <t>Cotis. reduc chèque 3</t>
  </si>
  <si>
    <t>Réduction covid cotis. + ajout coordonées</t>
  </si>
  <si>
    <t>Parametres</t>
  </si>
  <si>
    <t>ICI</t>
  </si>
  <si>
    <t>Valeurs majeur</t>
  </si>
  <si>
    <t>Valeurs mineur</t>
  </si>
  <si>
    <t>Valeurs de base</t>
  </si>
  <si>
    <t>Mettre à jour la date de certificat médical (onglet sommaire) et la date pour les cuirasse 800N</t>
  </si>
  <si>
    <t>Tarif licence seul (2)</t>
  </si>
  <si>
    <r>
      <t xml:space="preserve">           </t>
    </r>
    <r>
      <rPr>
        <u/>
        <sz val="10"/>
        <color rgb="FFFF0000"/>
        <rFont val="Arial"/>
        <family val="2"/>
      </rPr>
      <t>Débutants adultes et plus de 11 ans</t>
    </r>
    <r>
      <rPr>
        <sz val="10"/>
        <color rgb="FFFF0000"/>
        <rFont val="Arial"/>
        <family val="2"/>
      </rPr>
      <t xml:space="preserve"> : location obligatoire d'une tenue et achat obligatoire d'un gant et d'un sous-cuirasse "800 N"</t>
    </r>
  </si>
  <si>
    <t>2022/2023</t>
  </si>
  <si>
    <t>M7</t>
  </si>
  <si>
    <t>et après</t>
  </si>
  <si>
    <t>2021/2022</t>
  </si>
  <si>
    <t>Dernière lame obtenu</t>
  </si>
  <si>
    <t>Lame:</t>
  </si>
  <si>
    <t>Lame</t>
  </si>
  <si>
    <t>modif location + achat+blason</t>
  </si>
  <si>
    <t>Location tenue ≤10ans (veste + pantalon + sous-cuirasse + masque)</t>
  </si>
  <si>
    <t xml:space="preserve">Type de paiement : </t>
  </si>
  <si>
    <t>Votre tarif :</t>
  </si>
  <si>
    <t>2023/2024</t>
  </si>
  <si>
    <t>Le comité régional d'escrime des PDL, propose des aides aux familles  :</t>
  </si>
  <si>
    <t>M.KERVELLEC Guillaume</t>
  </si>
  <si>
    <t>Un questionnaire de santé doit impérativement être établi (voir le formulaire "auto-questionnaire"),</t>
  </si>
  <si>
    <t>Type paiement</t>
  </si>
  <si>
    <t>Lien pour le paiement sur Helloasso du club :</t>
  </si>
  <si>
    <t>IBAN du club pour paiement par virement bancaire :</t>
  </si>
  <si>
    <t>FR76 1027 8361 3400 0133 4330 151</t>
  </si>
  <si>
    <t xml:space="preserve"> QR Code pour le paiement sur Helloasso du club :</t>
  </si>
  <si>
    <t>BIC :</t>
  </si>
  <si>
    <t>CMCIFR2A</t>
  </si>
  <si>
    <t>Paiement 1</t>
  </si>
  <si>
    <t>Paiement 2</t>
  </si>
  <si>
    <t>Paiement 3</t>
  </si>
  <si>
    <t>Modif des paiements + Helloasso</t>
  </si>
  <si>
    <t>Location tenue ≥11ans (veste + pantalon + masque)</t>
  </si>
  <si>
    <t>Achat sous cuirasse 800N enfant</t>
  </si>
  <si>
    <t>Achat sous cuirasse 800N enfant de 11 à 14 ans</t>
  </si>
  <si>
    <t>Achat gant</t>
  </si>
  <si>
    <t>Achat sous cuirasse 800N - 14 ans</t>
  </si>
  <si>
    <t>Achat sous cuirasse 800N+ 15 ans</t>
  </si>
  <si>
    <t>Possibilité de paiement de la cotisation en 3 fois sans frais. Les chèques ou virements seront encaissés tous les mois suivant l'inscription.</t>
  </si>
  <si>
    <t>(1) Pour les personnes qui possèdent déjà une licence dans un autre club.</t>
  </si>
  <si>
    <r>
      <t xml:space="preserve">           </t>
    </r>
    <r>
      <rPr>
        <u/>
        <sz val="10"/>
        <color rgb="FFFF0000"/>
        <rFont val="Arial"/>
        <family val="2"/>
      </rPr>
      <t>Débutants de moins de 11ans</t>
    </r>
    <r>
      <rPr>
        <sz val="10"/>
        <color rgb="FFFF0000"/>
        <rFont val="Arial"/>
        <family val="2"/>
      </rPr>
      <t xml:space="preserve"> : location obligatoire d'une tenue "enfant" et achat obligatoire d'un gant</t>
    </r>
  </si>
  <si>
    <t xml:space="preserve">Achat sous cuirasse 800N (plus de 15 ans inclu) </t>
  </si>
  <si>
    <r>
      <rPr>
        <b/>
        <sz val="11"/>
        <rFont val="Arial"/>
        <family val="2"/>
      </rPr>
      <t>de cotisation n°1</t>
    </r>
    <r>
      <rPr>
        <sz val="11"/>
        <rFont val="Arial"/>
        <family val="2"/>
      </rPr>
      <t xml:space="preserve"> (encaissé le mois de l'inscription) d'un montant de</t>
    </r>
  </si>
  <si>
    <r>
      <rPr>
        <b/>
        <sz val="11"/>
        <rFont val="Arial"/>
        <family val="2"/>
      </rPr>
      <t>de cotisation n°2</t>
    </r>
    <r>
      <rPr>
        <sz val="11"/>
        <rFont val="Arial"/>
        <family val="2"/>
      </rPr>
      <t xml:space="preserve"> (encaissé 1 mois après l'inscription) d'un montant de</t>
    </r>
  </si>
  <si>
    <r>
      <rPr>
        <b/>
        <sz val="11"/>
        <rFont val="Arial"/>
        <family val="2"/>
      </rPr>
      <t>de cotisation n°3</t>
    </r>
    <r>
      <rPr>
        <sz val="11"/>
        <rFont val="Arial"/>
        <family val="2"/>
      </rPr>
      <t xml:space="preserve"> (encaissé 2 mois après l'inscription) d'un montant de</t>
    </r>
  </si>
  <si>
    <t>2. Renvoyez-le par mail au club (estelle-joly@orange.fr)</t>
  </si>
  <si>
    <t>3. Imprimez la fiche récapitulative et postez-la avec votre règlement et un certificat médical à l'adresse suivante :</t>
  </si>
  <si>
    <r>
      <rPr>
        <b/>
        <sz val="11"/>
        <rFont val="Arial"/>
        <family val="2"/>
      </rPr>
      <t>de location/achat</t>
    </r>
    <r>
      <rPr>
        <sz val="11"/>
        <rFont val="Arial"/>
        <family val="2"/>
      </rPr>
      <t xml:space="preserve"> du matériel d'un montant de </t>
    </r>
  </si>
  <si>
    <t>1. Remplissez le fichier (inscructions ci-dessous), enregistrez-le en le renomant avec votre Nom et Prénom à la fin</t>
  </si>
  <si>
    <t>Encaissement des cotisations</t>
  </si>
  <si>
    <t>Pour les renouvellements d'inscriptions (sans interruption), le certificat est valable pour 3 années (sauf vétérans de +65),</t>
  </si>
  <si>
    <r>
      <rPr>
        <b/>
        <sz val="11"/>
        <rFont val="Arial"/>
        <family val="2"/>
      </rPr>
      <t>certificat médical</t>
    </r>
    <r>
      <rPr>
        <sz val="11"/>
        <rFont val="Arial"/>
        <family val="2"/>
      </rPr>
      <t xml:space="preserve"> daté </t>
    </r>
    <r>
      <rPr>
        <u/>
        <sz val="11"/>
        <rFont val="Arial"/>
        <family val="2"/>
      </rPr>
      <t>d'après</t>
    </r>
    <r>
      <rPr>
        <sz val="11"/>
        <rFont val="Arial"/>
        <family val="2"/>
      </rPr>
      <t xml:space="preserve"> le 1er </t>
    </r>
  </si>
  <si>
    <t>Année à venir</t>
  </si>
  <si>
    <t>2024/2025</t>
  </si>
  <si>
    <t>Location masque seul</t>
  </si>
  <si>
    <t>2025/2026</t>
  </si>
  <si>
    <t>ajout masque …</t>
  </si>
  <si>
    <t>Une caution obligatoire de 250 euros (non encaissée) est demandée pour la location d'une tenue (veste + pantalon + masque) ou d'un masque seul</t>
  </si>
  <si>
    <t>mantionant "Apte à la pratique de l'escrime en compétition" pour les nouveaux licenciers et les plus de 65 ans</t>
  </si>
</sst>
</file>

<file path=xl/styles.xml><?xml version="1.0" encoding="utf-8"?>
<styleSheet xmlns="http://schemas.openxmlformats.org/spreadsheetml/2006/main">
  <numFmts count="9">
    <numFmt numFmtId="5" formatCode="#,##0\ &quot;€&quot;;\-#,##0\ &quot;€&quot;"/>
    <numFmt numFmtId="44" formatCode="_-* #,##0.00\ &quot;€&quot;_-;\-* #,##0.00\ &quot;€&quot;_-;_-* &quot;-&quot;??\ &quot;€&quot;_-;_-@_-"/>
    <numFmt numFmtId="43" formatCode="_-* #,##0.00\ _€_-;\-* #,##0.00\ _€_-;_-* &quot;-&quot;??\ _€_-;_-@_-"/>
    <numFmt numFmtId="164" formatCode="dd/mm/yy"/>
    <numFmt numFmtId="165" formatCode="00000"/>
    <numFmt numFmtId="166" formatCode="_-* #,##0\ &quot;€&quot;_-;\-* #,##0\ &quot;€&quot;_-;_-* &quot;-&quot;??\ &quot;€&quot;_-;_-@_-"/>
    <numFmt numFmtId="167" formatCode="0#&quot; &quot;##&quot; &quot;##&quot; &quot;##&quot; &quot;##"/>
    <numFmt numFmtId="168" formatCode="_-* #,##0.00\ [$€-40C]_-;\-* #,##0.00\ [$€-40C]_-;_-* &quot;-&quot;??\ [$€-40C]_-;_-@_-"/>
    <numFmt numFmtId="169" formatCode="#,##0.00\ &quot;€&quot;"/>
  </numFmts>
  <fonts count="51">
    <font>
      <sz val="10"/>
      <name val="Arial"/>
      <family val="2"/>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sz val="11"/>
      <color theme="0"/>
      <name val="Calibri"/>
      <family val="2"/>
      <scheme val="minor"/>
    </font>
    <font>
      <sz val="11"/>
      <color theme="1"/>
      <name val="Calibri"/>
      <family val="2"/>
      <scheme val="minor"/>
    </font>
    <font>
      <b/>
      <sz val="20"/>
      <color theme="3"/>
      <name val="Calibri"/>
      <family val="2"/>
      <scheme val="minor"/>
    </font>
    <font>
      <b/>
      <sz val="12"/>
      <color theme="3"/>
      <name val="Calibri"/>
      <family val="2"/>
      <scheme val="minor"/>
    </font>
    <font>
      <b/>
      <sz val="10"/>
      <name val="Arial"/>
      <family val="2"/>
    </font>
    <font>
      <u/>
      <sz val="10"/>
      <color theme="10"/>
      <name val="Arial"/>
      <family val="2"/>
    </font>
    <font>
      <i/>
      <sz val="10"/>
      <name val="Arial"/>
      <family val="2"/>
    </font>
    <font>
      <sz val="11"/>
      <color rgb="FFFF0000"/>
      <name val="Arial"/>
      <family val="2"/>
    </font>
    <font>
      <sz val="11"/>
      <name val="Arial"/>
      <family val="2"/>
    </font>
    <font>
      <i/>
      <sz val="11"/>
      <color theme="1"/>
      <name val="Calibri"/>
      <family val="2"/>
      <scheme val="minor"/>
    </font>
    <font>
      <i/>
      <sz val="11"/>
      <name val="Arial"/>
      <family val="2"/>
    </font>
    <font>
      <u/>
      <sz val="11"/>
      <color theme="10"/>
      <name val="Arial"/>
      <family val="2"/>
    </font>
    <font>
      <b/>
      <sz val="11"/>
      <name val="Arial"/>
      <family val="2"/>
    </font>
    <font>
      <b/>
      <sz val="12"/>
      <name val="Arial"/>
      <family val="2"/>
    </font>
    <font>
      <sz val="10"/>
      <name val="Arial"/>
      <family val="2"/>
    </font>
    <font>
      <b/>
      <sz val="9"/>
      <name val="Arial"/>
      <family val="2"/>
    </font>
    <font>
      <sz val="14"/>
      <name val="Arial"/>
      <family val="2"/>
    </font>
    <font>
      <sz val="6"/>
      <name val="Arial"/>
      <family val="2"/>
    </font>
    <font>
      <sz val="8"/>
      <color theme="0" tint="-0.499984740745262"/>
      <name val="Arial"/>
      <family val="2"/>
    </font>
    <font>
      <u/>
      <sz val="11"/>
      <name val="Arial"/>
      <family val="2"/>
    </font>
    <font>
      <sz val="10"/>
      <color theme="10"/>
      <name val="Arial"/>
      <family val="2"/>
    </font>
    <font>
      <sz val="11"/>
      <color theme="1" tint="4.9989318521683403E-2"/>
      <name val="Calibri"/>
      <family val="2"/>
      <scheme val="minor"/>
    </font>
    <font>
      <sz val="9"/>
      <name val="Arial"/>
      <family val="2"/>
    </font>
    <font>
      <sz val="8"/>
      <name val="Arial"/>
      <family val="2"/>
    </font>
    <font>
      <b/>
      <sz val="8"/>
      <name val="Arial"/>
      <family val="2"/>
    </font>
    <font>
      <b/>
      <sz val="22"/>
      <color theme="3"/>
      <name val="Calibri"/>
      <family val="2"/>
      <scheme val="minor"/>
    </font>
    <font>
      <sz val="10"/>
      <color rgb="FFFF0000"/>
      <name val="Arial"/>
      <family val="2"/>
    </font>
    <font>
      <b/>
      <u/>
      <sz val="10"/>
      <color rgb="FFFF0000"/>
      <name val="Arial"/>
      <family val="2"/>
    </font>
    <font>
      <b/>
      <sz val="10"/>
      <color rgb="FFFF0000"/>
      <name val="Arial"/>
      <family val="2"/>
    </font>
    <font>
      <i/>
      <sz val="11"/>
      <color rgb="FFFF0000"/>
      <name val="Arial"/>
      <family val="2"/>
    </font>
    <font>
      <sz val="11"/>
      <color rgb="FF3F3F3F"/>
      <name val="Calibri"/>
      <family val="2"/>
      <scheme val="minor"/>
    </font>
    <font>
      <i/>
      <sz val="10"/>
      <color rgb="FFFF0000"/>
      <name val="Arial"/>
      <family val="2"/>
    </font>
    <font>
      <sz val="10"/>
      <color theme="1"/>
      <name val="Arial"/>
      <family val="2"/>
    </font>
    <font>
      <sz val="11"/>
      <color rgb="FF4E4E4E"/>
      <name val="Open Sans"/>
    </font>
    <font>
      <b/>
      <sz val="20"/>
      <name val="Arial"/>
      <family val="2"/>
    </font>
    <font>
      <i/>
      <sz val="14"/>
      <name val="Arial"/>
      <family val="2"/>
    </font>
    <font>
      <b/>
      <sz val="18"/>
      <name val="Arial"/>
      <family val="2"/>
    </font>
    <font>
      <b/>
      <u/>
      <sz val="10"/>
      <name val="Arial"/>
      <family val="2"/>
    </font>
    <font>
      <sz val="10"/>
      <color rgb="FF00B050"/>
      <name val="Arial"/>
      <family val="2"/>
    </font>
    <font>
      <u/>
      <sz val="10"/>
      <color rgb="FFFF0000"/>
      <name val="Arial"/>
      <family val="2"/>
    </font>
    <font>
      <u/>
      <sz val="16"/>
      <color theme="10"/>
      <name val="Arial"/>
      <family val="2"/>
    </font>
    <font>
      <u/>
      <sz val="12"/>
      <color theme="10"/>
      <name val="Arial"/>
      <family val="2"/>
    </font>
    <font>
      <b/>
      <sz val="36"/>
      <color rgb="FF00823B"/>
      <name val="Calibri"/>
      <family val="2"/>
      <scheme val="minor"/>
    </font>
  </fonts>
  <fills count="14">
    <fill>
      <patternFill patternType="none"/>
    </fill>
    <fill>
      <patternFill patternType="gray125"/>
    </fill>
    <fill>
      <patternFill patternType="solid">
        <fgColor rgb="FFF2F2F2"/>
      </patternFill>
    </fill>
    <fill>
      <patternFill patternType="solid">
        <fgColor theme="4"/>
      </patternFill>
    </fill>
    <fill>
      <patternFill patternType="solid">
        <fgColor theme="6"/>
      </patternFill>
    </fill>
    <fill>
      <patternFill patternType="solid">
        <fgColor theme="9"/>
      </patternFill>
    </fill>
    <fill>
      <patternFill patternType="solid">
        <fgColor theme="9" tint="0.59999389629810485"/>
        <bgColor indexed="65"/>
      </patternFill>
    </fill>
    <fill>
      <patternFill patternType="solid">
        <fgColor theme="0"/>
        <bgColor indexed="64"/>
      </patternFill>
    </fill>
    <fill>
      <patternFill patternType="solid">
        <fgColor theme="2"/>
        <bgColor indexed="64"/>
      </patternFill>
    </fill>
    <fill>
      <patternFill patternType="solid">
        <fgColor rgb="FFFFFFAF"/>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FFCC"/>
        <bgColor indexed="64"/>
      </patternFill>
    </fill>
  </fills>
  <borders count="7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rgb="FF3F3F3F"/>
      </right>
      <top/>
      <bottom/>
      <diagonal/>
    </border>
    <border>
      <left/>
      <right/>
      <top style="medium">
        <color theme="4" tint="0.39997558519241921"/>
      </top>
      <bottom/>
      <diagonal/>
    </border>
    <border>
      <left style="thin">
        <color rgb="FF3F3F3F"/>
      </left>
      <right/>
      <top/>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top style="thin">
        <color rgb="FF3F3F3F"/>
      </top>
      <bottom/>
      <diagonal/>
    </border>
    <border>
      <left/>
      <right/>
      <top style="thin">
        <color rgb="FF3F3F3F"/>
      </top>
      <bottom/>
      <diagonal/>
    </border>
    <border>
      <left/>
      <right style="thin">
        <color rgb="FF3F3F3F"/>
      </right>
      <top style="thin">
        <color rgb="FF3F3F3F"/>
      </top>
      <bottom/>
      <diagonal/>
    </border>
    <border>
      <left style="thin">
        <color rgb="FF3F3F3F"/>
      </left>
      <right/>
      <top/>
      <bottom style="thin">
        <color rgb="FF3F3F3F"/>
      </bottom>
      <diagonal/>
    </border>
    <border>
      <left/>
      <right/>
      <top/>
      <bottom style="thin">
        <color rgb="FF3F3F3F"/>
      </bottom>
      <diagonal/>
    </border>
    <border>
      <left/>
      <right style="thin">
        <color rgb="FF3F3F3F"/>
      </right>
      <top/>
      <bottom style="thin">
        <color rgb="FF3F3F3F"/>
      </bottom>
      <diagonal/>
    </border>
    <border>
      <left/>
      <right style="thin">
        <color indexed="64"/>
      </right>
      <top style="thin">
        <color rgb="FF3F3F3F"/>
      </top>
      <bottom style="thin">
        <color rgb="FF3F3F3F"/>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top/>
      <bottom style="dotted">
        <color auto="1"/>
      </bottom>
      <diagonal/>
    </border>
    <border>
      <left/>
      <right/>
      <top style="dotted">
        <color auto="1"/>
      </top>
      <bottom style="dotted">
        <color auto="1"/>
      </bottom>
      <diagonal/>
    </border>
    <border>
      <left style="thin">
        <color indexed="64"/>
      </left>
      <right/>
      <top/>
      <bottom style="dotted">
        <color auto="1"/>
      </bottom>
      <diagonal/>
    </border>
    <border>
      <left style="thin">
        <color indexed="64"/>
      </left>
      <right/>
      <top style="dotted">
        <color auto="1"/>
      </top>
      <bottom style="dotted">
        <color auto="1"/>
      </bottom>
      <diagonal/>
    </border>
    <border>
      <left/>
      <right/>
      <top/>
      <bottom style="hair">
        <color auto="1"/>
      </bottom>
      <diagonal/>
    </border>
    <border>
      <left/>
      <right/>
      <top style="hair">
        <color auto="1"/>
      </top>
      <bottom style="hair">
        <color auto="1"/>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diagonal/>
    </border>
    <border>
      <left style="thin">
        <color rgb="FF3F3F3F"/>
      </left>
      <right/>
      <top style="thin">
        <color rgb="FF3F3F3F"/>
      </top>
      <bottom style="thin">
        <color rgb="FF000000"/>
      </bottom>
      <diagonal/>
    </border>
    <border>
      <left/>
      <right/>
      <top style="thin">
        <color rgb="FF3F3F3F"/>
      </top>
      <bottom style="thin">
        <color rgb="FF000000"/>
      </bottom>
      <diagonal/>
    </border>
    <border>
      <left/>
      <right style="thin">
        <color rgb="FF3F3F3F"/>
      </right>
      <top style="thin">
        <color rgb="FF3F3F3F"/>
      </top>
      <bottom style="thin">
        <color rgb="FF000000"/>
      </bottom>
      <diagonal/>
    </border>
    <border>
      <left style="medium">
        <color rgb="FFFF0000"/>
      </left>
      <right/>
      <top/>
      <bottom/>
      <diagonal/>
    </border>
    <border>
      <left/>
      <right/>
      <top style="medium">
        <color rgb="FFFF0000"/>
      </top>
      <bottom/>
      <diagonal/>
    </border>
    <border>
      <left style="thin">
        <color indexed="64"/>
      </left>
      <right style="thin">
        <color indexed="64"/>
      </right>
      <top style="thin">
        <color indexed="64"/>
      </top>
      <bottom style="thin">
        <color rgb="FFFF0000"/>
      </bottom>
      <diagonal/>
    </border>
    <border>
      <left style="thin">
        <color rgb="FF7F7F7F"/>
      </left>
      <right style="thin">
        <color rgb="FF7F7F7F"/>
      </right>
      <top style="thin">
        <color rgb="FF7F7F7F"/>
      </top>
      <bottom style="thin">
        <color indexed="64"/>
      </bottom>
      <diagonal/>
    </border>
    <border>
      <left style="thin">
        <color indexed="64"/>
      </left>
      <right style="thin">
        <color indexed="64"/>
      </right>
      <top/>
      <bottom style="thin">
        <color indexed="64"/>
      </bottom>
      <diagonal/>
    </border>
  </borders>
  <cellStyleXfs count="14">
    <xf numFmtId="0" fontId="0" fillId="0" borderId="0"/>
    <xf numFmtId="43" fontId="1" fillId="0" borderId="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5" applyNumberFormat="0" applyAlignment="0" applyProtection="0"/>
    <xf numFmtId="0" fontId="6" fillId="2" borderId="4" applyNumberFormat="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9" fillId="6" borderId="0" applyNumberFormat="0" applyBorder="0" applyAlignment="0" applyProtection="0"/>
    <xf numFmtId="0" fontId="13" fillId="0" borderId="0" applyNumberFormat="0" applyFill="0" applyBorder="0" applyAlignment="0" applyProtection="0"/>
    <xf numFmtId="44" fontId="22" fillId="0" borderId="0" applyFont="0" applyFill="0" applyBorder="0" applyAlignment="0" applyProtection="0"/>
  </cellStyleXfs>
  <cellXfs count="442">
    <xf numFmtId="0" fontId="0" fillId="0" borderId="0" xfId="0"/>
    <xf numFmtId="0" fontId="0" fillId="7" borderId="0" xfId="0" applyFill="1" applyBorder="1"/>
    <xf numFmtId="0" fontId="0" fillId="7" borderId="0" xfId="0" applyFill="1"/>
    <xf numFmtId="0" fontId="0" fillId="8" borderId="0" xfId="0" applyFill="1"/>
    <xf numFmtId="14" fontId="0" fillId="7" borderId="0" xfId="0" applyNumberFormat="1" applyFill="1"/>
    <xf numFmtId="0" fontId="0" fillId="7" borderId="11" xfId="0" applyFill="1" applyBorder="1"/>
    <xf numFmtId="0" fontId="0" fillId="7" borderId="8" xfId="0" applyFill="1" applyBorder="1"/>
    <xf numFmtId="0" fontId="0" fillId="7" borderId="12" xfId="0" applyFill="1" applyBorder="1"/>
    <xf numFmtId="0" fontId="0" fillId="7" borderId="0" xfId="0" applyFill="1" applyProtection="1"/>
    <xf numFmtId="0" fontId="0" fillId="8" borderId="0" xfId="0" applyFill="1" applyProtection="1"/>
    <xf numFmtId="14" fontId="0" fillId="7" borderId="0" xfId="0" applyNumberFormat="1" applyFill="1" applyProtection="1"/>
    <xf numFmtId="14" fontId="0" fillId="8" borderId="0" xfId="0" applyNumberFormat="1" applyFill="1" applyProtection="1"/>
    <xf numFmtId="44" fontId="6" fillId="2" borderId="4" xfId="7" applyNumberFormat="1" applyProtection="1"/>
    <xf numFmtId="0" fontId="0" fillId="7" borderId="0" xfId="0" applyFill="1" applyBorder="1" applyProtection="1"/>
    <xf numFmtId="0" fontId="14" fillId="7" borderId="0" xfId="0" applyFont="1" applyFill="1" applyProtection="1"/>
    <xf numFmtId="0" fontId="0" fillId="7" borderId="17" xfId="0" applyFill="1" applyBorder="1" applyProtection="1"/>
    <xf numFmtId="0" fontId="8" fillId="5" borderId="4" xfId="10" applyBorder="1" applyAlignment="1" applyProtection="1">
      <alignment horizontal="center" vertical="center"/>
    </xf>
    <xf numFmtId="0" fontId="17" fillId="6" borderId="5" xfId="11" applyFont="1" applyBorder="1" applyAlignment="1" applyProtection="1">
      <alignment horizontal="center" vertical="center"/>
    </xf>
    <xf numFmtId="0" fontId="8" fillId="5" borderId="9" xfId="10" applyBorder="1" applyAlignment="1" applyProtection="1">
      <alignment horizontal="center" vertical="center"/>
    </xf>
    <xf numFmtId="166" fontId="6" fillId="2" borderId="4" xfId="7" applyNumberFormat="1" applyProtection="1"/>
    <xf numFmtId="0" fontId="16" fillId="7" borderId="0" xfId="0" applyFont="1" applyFill="1" applyProtection="1"/>
    <xf numFmtId="0" fontId="15" fillId="10" borderId="0" xfId="0" applyFont="1" applyFill="1" applyAlignment="1" applyProtection="1">
      <alignment horizontal="center"/>
    </xf>
    <xf numFmtId="0" fontId="18" fillId="7" borderId="0" xfId="0" applyFont="1" applyFill="1" applyProtection="1"/>
    <xf numFmtId="0" fontId="20" fillId="7" borderId="0" xfId="0" applyFont="1" applyFill="1" applyProtection="1"/>
    <xf numFmtId="0" fontId="12" fillId="7" borderId="12" xfId="0" applyFont="1" applyFill="1" applyBorder="1" applyAlignment="1">
      <alignment vertical="center"/>
    </xf>
    <xf numFmtId="0" fontId="0" fillId="7" borderId="6" xfId="0" applyFill="1" applyBorder="1"/>
    <xf numFmtId="14" fontId="0" fillId="7" borderId="7" xfId="0" applyNumberFormat="1" applyFill="1" applyBorder="1" applyAlignment="1">
      <alignment horizontal="left"/>
    </xf>
    <xf numFmtId="0" fontId="0" fillId="7" borderId="7" xfId="0" applyFill="1" applyBorder="1" applyAlignment="1">
      <alignment horizontal="left" vertical="center"/>
    </xf>
    <xf numFmtId="0" fontId="0" fillId="7" borderId="7" xfId="0" applyFill="1" applyBorder="1"/>
    <xf numFmtId="0" fontId="0" fillId="7" borderId="14" xfId="0" applyFill="1" applyBorder="1"/>
    <xf numFmtId="0" fontId="0" fillId="7" borderId="13" xfId="0" applyFill="1" applyBorder="1"/>
    <xf numFmtId="0" fontId="0" fillId="7" borderId="8" xfId="0" applyFill="1" applyBorder="1" applyAlignment="1"/>
    <xf numFmtId="0" fontId="0" fillId="7" borderId="14" xfId="0" applyFill="1" applyBorder="1" applyAlignment="1">
      <alignment horizontal="left" vertical="center"/>
    </xf>
    <xf numFmtId="0" fontId="0" fillId="7" borderId="0" xfId="0" applyFill="1" applyBorder="1" applyAlignment="1"/>
    <xf numFmtId="0" fontId="14" fillId="7" borderId="0" xfId="0" applyFont="1" applyFill="1"/>
    <xf numFmtId="0" fontId="21" fillId="7" borderId="0" xfId="0" applyFont="1" applyFill="1"/>
    <xf numFmtId="0" fontId="12" fillId="7" borderId="0" xfId="0" applyFont="1" applyFill="1"/>
    <xf numFmtId="0" fontId="12" fillId="7" borderId="8" xfId="0" applyFont="1" applyFill="1" applyBorder="1"/>
    <xf numFmtId="0" fontId="11" fillId="7" borderId="0" xfId="5" applyFont="1" applyFill="1" applyProtection="1"/>
    <xf numFmtId="0" fontId="24" fillId="7" borderId="0" xfId="0" applyFont="1" applyFill="1" applyAlignment="1" applyProtection="1">
      <alignment horizontal="center"/>
    </xf>
    <xf numFmtId="0" fontId="24" fillId="0" borderId="0" xfId="0" applyFont="1" applyProtection="1"/>
    <xf numFmtId="0" fontId="3" fillId="7" borderId="2" xfId="3" applyFill="1" applyProtection="1"/>
    <xf numFmtId="0" fontId="16" fillId="7" borderId="0" xfId="0" applyFont="1" applyFill="1" applyBorder="1" applyProtection="1"/>
    <xf numFmtId="0" fontId="16" fillId="8" borderId="0" xfId="0" applyFont="1" applyFill="1" applyProtection="1"/>
    <xf numFmtId="0" fontId="0" fillId="8" borderId="0" xfId="0" applyFill="1" applyBorder="1" applyProtection="1"/>
    <xf numFmtId="0" fontId="16" fillId="7" borderId="0" xfId="0" applyFont="1" applyFill="1" applyAlignment="1" applyProtection="1">
      <alignment vertical="center"/>
    </xf>
    <xf numFmtId="164" fontId="20" fillId="7" borderId="0" xfId="0" applyNumberFormat="1" applyFont="1" applyFill="1" applyProtection="1"/>
    <xf numFmtId="164" fontId="16" fillId="7" borderId="0" xfId="0" applyNumberFormat="1" applyFont="1" applyFill="1" applyProtection="1"/>
    <xf numFmtId="0" fontId="16" fillId="7" borderId="0" xfId="0" applyNumberFormat="1" applyFont="1" applyFill="1" applyProtection="1"/>
    <xf numFmtId="0" fontId="25" fillId="7" borderId="0" xfId="0" applyFont="1" applyFill="1"/>
    <xf numFmtId="0" fontId="16" fillId="7" borderId="7" xfId="0" applyFont="1" applyFill="1" applyBorder="1" applyProtection="1"/>
    <xf numFmtId="0" fontId="0" fillId="9" borderId="38" xfId="0" applyFill="1" applyBorder="1" applyProtection="1">
      <protection locked="0"/>
    </xf>
    <xf numFmtId="0" fontId="16" fillId="9" borderId="38" xfId="0" applyFont="1" applyFill="1" applyBorder="1" applyAlignment="1" applyProtection="1">
      <alignment horizontal="left"/>
      <protection locked="0"/>
    </xf>
    <xf numFmtId="14" fontId="16" fillId="9" borderId="38" xfId="0" applyNumberFormat="1" applyFont="1" applyFill="1" applyBorder="1" applyAlignment="1" applyProtection="1">
      <alignment horizontal="center" vertical="center"/>
      <protection locked="0"/>
    </xf>
    <xf numFmtId="165" fontId="16" fillId="9" borderId="38" xfId="1" applyNumberFormat="1" applyFont="1" applyFill="1" applyBorder="1" applyAlignment="1" applyProtection="1">
      <alignment horizontal="left" vertical="center"/>
      <protection locked="0"/>
    </xf>
    <xf numFmtId="0" fontId="0" fillId="7" borderId="18" xfId="0" applyFill="1" applyBorder="1" applyProtection="1"/>
    <xf numFmtId="0" fontId="0" fillId="9" borderId="38" xfId="0" applyFill="1" applyBorder="1" applyAlignment="1" applyProtection="1">
      <alignment horizontal="center" vertical="center"/>
      <protection locked="0"/>
    </xf>
    <xf numFmtId="166" fontId="6" fillId="2" borderId="15" xfId="7" applyNumberFormat="1" applyBorder="1" applyAlignment="1" applyProtection="1">
      <alignment vertical="center"/>
    </xf>
    <xf numFmtId="0" fontId="8" fillId="4" borderId="45" xfId="9" applyBorder="1" applyAlignment="1" applyProtection="1">
      <alignment horizontal="center" vertical="center"/>
    </xf>
    <xf numFmtId="0" fontId="0" fillId="7" borderId="7" xfId="0" applyFill="1" applyBorder="1" applyProtection="1"/>
    <xf numFmtId="0" fontId="30" fillId="7" borderId="0" xfId="0" applyFont="1" applyFill="1"/>
    <xf numFmtId="0" fontId="31" fillId="7" borderId="0" xfId="0" applyFont="1" applyFill="1"/>
    <xf numFmtId="0" fontId="19" fillId="8" borderId="0" xfId="12" applyFont="1" applyFill="1" applyProtection="1"/>
    <xf numFmtId="0" fontId="19" fillId="7" borderId="0" xfId="12" applyFont="1" applyFill="1" applyBorder="1" applyAlignment="1" applyProtection="1">
      <alignment horizontal="left"/>
    </xf>
    <xf numFmtId="0" fontId="0" fillId="7" borderId="0" xfId="0" applyFill="1" applyAlignment="1" applyProtection="1">
      <alignment horizontal="left"/>
    </xf>
    <xf numFmtId="0" fontId="21" fillId="7" borderId="0" xfId="0" applyFont="1" applyFill="1" applyProtection="1"/>
    <xf numFmtId="0" fontId="0" fillId="7" borderId="12" xfId="0" applyFill="1" applyBorder="1" applyAlignment="1" applyProtection="1">
      <alignment horizontal="center" vertical="center"/>
    </xf>
    <xf numFmtId="0" fontId="0" fillId="7" borderId="7" xfId="0" applyFill="1" applyBorder="1" applyAlignment="1" applyProtection="1">
      <alignment horizontal="center" vertical="center"/>
    </xf>
    <xf numFmtId="0" fontId="19" fillId="8" borderId="0" xfId="12" applyFont="1" applyFill="1" applyAlignment="1" applyProtection="1">
      <alignment vertical="center"/>
    </xf>
    <xf numFmtId="0" fontId="13" fillId="7" borderId="0" xfId="12" applyFill="1" applyAlignment="1" applyProtection="1">
      <alignment vertical="center"/>
    </xf>
    <xf numFmtId="0" fontId="16" fillId="7" borderId="0" xfId="0" applyNumberFormat="1" applyFont="1" applyFill="1" applyAlignment="1" applyProtection="1">
      <alignment horizontal="left" vertical="center"/>
    </xf>
    <xf numFmtId="0" fontId="20" fillId="7" borderId="0" xfId="0" applyNumberFormat="1" applyFont="1" applyFill="1" applyAlignment="1" applyProtection="1">
      <alignment horizontal="center" vertical="center"/>
    </xf>
    <xf numFmtId="168" fontId="6" fillId="2" borderId="4" xfId="7" applyNumberFormat="1" applyProtection="1"/>
    <xf numFmtId="0" fontId="0" fillId="8" borderId="0" xfId="0" applyFill="1" applyAlignment="1" applyProtection="1">
      <alignment horizontal="center"/>
    </xf>
    <xf numFmtId="0" fontId="16" fillId="7" borderId="0" xfId="0" quotePrefix="1" applyFont="1" applyFill="1" applyProtection="1"/>
    <xf numFmtId="0" fontId="0" fillId="7" borderId="8" xfId="0" applyFill="1" applyBorder="1" applyAlignment="1">
      <alignment vertical="center"/>
    </xf>
    <xf numFmtId="0" fontId="0" fillId="7" borderId="11" xfId="0" applyFill="1" applyBorder="1" applyAlignment="1"/>
    <xf numFmtId="0" fontId="12" fillId="7" borderId="0" xfId="0" applyFont="1" applyFill="1" applyBorder="1"/>
    <xf numFmtId="0" fontId="0" fillId="7" borderId="0" xfId="0" applyFill="1" applyBorder="1" applyAlignment="1">
      <alignment vertical="center"/>
    </xf>
    <xf numFmtId="0" fontId="34" fillId="7" borderId="0" xfId="0" applyFont="1" applyFill="1" applyProtection="1"/>
    <xf numFmtId="0" fontId="35" fillId="7" borderId="0" xfId="12" applyFont="1" applyFill="1" applyAlignment="1" applyProtection="1">
      <alignment vertical="center"/>
    </xf>
    <xf numFmtId="0" fontId="36" fillId="7" borderId="0" xfId="0" applyFont="1" applyFill="1" applyProtection="1"/>
    <xf numFmtId="0" fontId="37" fillId="7" borderId="0" xfId="0" applyFont="1" applyFill="1" applyProtection="1"/>
    <xf numFmtId="0" fontId="15" fillId="7" borderId="0" xfId="0" applyNumberFormat="1" applyFont="1" applyFill="1" applyAlignment="1" applyProtection="1">
      <alignment horizontal="left" vertical="center"/>
    </xf>
    <xf numFmtId="0" fontId="15" fillId="7" borderId="0" xfId="0" applyFont="1" applyFill="1" applyProtection="1"/>
    <xf numFmtId="0" fontId="15" fillId="7" borderId="0" xfId="0" quotePrefix="1" applyFont="1" applyFill="1" applyProtection="1"/>
    <xf numFmtId="0" fontId="0" fillId="9" borderId="37" xfId="0" applyFill="1" applyBorder="1" applyAlignment="1" applyProtection="1">
      <alignment horizontal="center" vertical="center"/>
      <protection locked="0"/>
    </xf>
    <xf numFmtId="0" fontId="12" fillId="7" borderId="0" xfId="0" applyFont="1" applyFill="1" applyProtection="1"/>
    <xf numFmtId="0" fontId="0" fillId="0" borderId="0" xfId="0" applyProtection="1"/>
    <xf numFmtId="0" fontId="0" fillId="0" borderId="0" xfId="0" applyAlignment="1" applyProtection="1">
      <alignment vertical="center"/>
    </xf>
    <xf numFmtId="0" fontId="0" fillId="0" borderId="0" xfId="0" applyBorder="1" applyProtection="1"/>
    <xf numFmtId="0" fontId="0" fillId="0" borderId="0" xfId="0" applyAlignment="1" applyProtection="1">
      <alignment horizontal="center" vertical="center"/>
    </xf>
    <xf numFmtId="14" fontId="0" fillId="0" borderId="0" xfId="0" applyNumberFormat="1" applyProtection="1"/>
    <xf numFmtId="0" fontId="13" fillId="0" borderId="0" xfId="12" applyProtection="1"/>
    <xf numFmtId="0" fontId="0" fillId="0" borderId="0" xfId="0" applyBorder="1" applyAlignment="1" applyProtection="1">
      <alignment horizontal="center" vertical="center"/>
    </xf>
    <xf numFmtId="14" fontId="0" fillId="0" borderId="0" xfId="0" applyNumberFormat="1" applyBorder="1" applyProtection="1"/>
    <xf numFmtId="0" fontId="13" fillId="0" borderId="0" xfId="12" applyBorder="1" applyProtection="1"/>
    <xf numFmtId="0" fontId="0" fillId="0" borderId="0" xfId="0" applyNumberFormat="1" applyBorder="1" applyAlignment="1" applyProtection="1">
      <alignment horizontal="center" vertical="center"/>
    </xf>
    <xf numFmtId="0" fontId="0" fillId="0" borderId="0" xfId="0" applyBorder="1" applyAlignment="1" applyProtection="1">
      <alignment wrapText="1"/>
    </xf>
    <xf numFmtId="0" fontId="0" fillId="0" borderId="0" xfId="0" applyAlignment="1" applyProtection="1">
      <alignment wrapText="1"/>
    </xf>
    <xf numFmtId="0" fontId="13" fillId="7" borderId="0" xfId="12" applyFill="1" applyBorder="1" applyAlignment="1" applyProtection="1">
      <alignment horizontal="left"/>
    </xf>
    <xf numFmtId="0" fontId="31" fillId="7" borderId="0" xfId="0" applyFont="1" applyFill="1" applyBorder="1"/>
    <xf numFmtId="0" fontId="31" fillId="7" borderId="8" xfId="0" applyFont="1" applyFill="1" applyBorder="1"/>
    <xf numFmtId="0" fontId="16" fillId="9" borderId="38" xfId="0" applyFont="1" applyFill="1" applyBorder="1" applyProtection="1">
      <protection locked="0"/>
    </xf>
    <xf numFmtId="0" fontId="32" fillId="7" borderId="0" xfId="0" applyFont="1" applyFill="1" applyBorder="1" applyAlignment="1">
      <alignment vertical="center" textRotation="90" wrapText="1"/>
    </xf>
    <xf numFmtId="0" fontId="32" fillId="7" borderId="7" xfId="0" applyFont="1" applyFill="1" applyBorder="1" applyAlignment="1">
      <alignment vertical="center" textRotation="90" wrapText="1"/>
    </xf>
    <xf numFmtId="0" fontId="32" fillId="7" borderId="14" xfId="0" applyFont="1" applyFill="1" applyBorder="1" applyAlignment="1">
      <alignment vertical="center" textRotation="90" wrapText="1"/>
    </xf>
    <xf numFmtId="0" fontId="32" fillId="7" borderId="11" xfId="0" applyFont="1" applyFill="1" applyBorder="1" applyAlignment="1">
      <alignment vertical="center" textRotation="90"/>
    </xf>
    <xf numFmtId="0" fontId="32" fillId="7" borderId="0" xfId="0" applyFont="1" applyFill="1" applyBorder="1" applyAlignment="1">
      <alignment vertical="center" textRotation="90"/>
    </xf>
    <xf numFmtId="0" fontId="0" fillId="7" borderId="46" xfId="0" applyFill="1" applyBorder="1"/>
    <xf numFmtId="0" fontId="0" fillId="7" borderId="47" xfId="0" applyFill="1" applyBorder="1"/>
    <xf numFmtId="0" fontId="0" fillId="7" borderId="48" xfId="0" applyFill="1" applyBorder="1"/>
    <xf numFmtId="0" fontId="0" fillId="7" borderId="49" xfId="0" applyFill="1" applyBorder="1"/>
    <xf numFmtId="0" fontId="0" fillId="7" borderId="0" xfId="0" applyFont="1" applyFill="1" applyBorder="1"/>
    <xf numFmtId="0" fontId="23" fillId="7" borderId="0" xfId="0" applyFont="1" applyFill="1" applyBorder="1"/>
    <xf numFmtId="0" fontId="36" fillId="7" borderId="0" xfId="0" applyFont="1" applyFill="1"/>
    <xf numFmtId="0" fontId="0" fillId="7" borderId="0" xfId="0" applyFill="1" applyBorder="1" applyAlignment="1">
      <alignment horizontal="left" vertical="center"/>
    </xf>
    <xf numFmtId="0" fontId="0" fillId="0" borderId="0" xfId="0" applyFill="1"/>
    <xf numFmtId="0" fontId="0" fillId="0" borderId="8" xfId="0" applyFont="1" applyFill="1" applyBorder="1"/>
    <xf numFmtId="0" fontId="0" fillId="0" borderId="0" xfId="0" applyFill="1" applyBorder="1"/>
    <xf numFmtId="0" fontId="14" fillId="7" borderId="0" xfId="0" applyFont="1" applyFill="1" applyBorder="1" applyAlignment="1">
      <alignment horizontal="left"/>
    </xf>
    <xf numFmtId="0" fontId="0" fillId="7" borderId="0" xfId="0" applyFill="1" applyBorder="1" applyAlignment="1">
      <alignment horizontal="left"/>
    </xf>
    <xf numFmtId="0" fontId="0" fillId="0" borderId="0" xfId="0" applyFill="1" applyBorder="1" applyAlignment="1">
      <alignment vertical="center"/>
    </xf>
    <xf numFmtId="0" fontId="0" fillId="0" borderId="0" xfId="0" applyFont="1" applyFill="1" applyBorder="1" applyAlignment="1"/>
    <xf numFmtId="0" fontId="12" fillId="7" borderId="10" xfId="0" applyFont="1" applyFill="1" applyBorder="1" applyAlignment="1">
      <alignment vertical="center"/>
    </xf>
    <xf numFmtId="0" fontId="12" fillId="7" borderId="11" xfId="0" applyFont="1" applyFill="1" applyBorder="1" applyAlignment="1">
      <alignment vertical="center"/>
    </xf>
    <xf numFmtId="0" fontId="12" fillId="7" borderId="10" xfId="0" applyFont="1" applyFill="1" applyBorder="1" applyAlignment="1"/>
    <xf numFmtId="0" fontId="12" fillId="7" borderId="11" xfId="0" applyFont="1" applyFill="1" applyBorder="1" applyAlignment="1"/>
    <xf numFmtId="0" fontId="26" fillId="7" borderId="0" xfId="0" applyFont="1" applyFill="1" applyAlignment="1" applyProtection="1">
      <alignment horizontal="center"/>
    </xf>
    <xf numFmtId="0" fontId="40" fillId="7" borderId="0" xfId="0" applyFont="1" applyFill="1" applyProtection="1"/>
    <xf numFmtId="0" fontId="12" fillId="7" borderId="0" xfId="0" applyFont="1" applyFill="1" applyBorder="1" applyAlignment="1">
      <alignment vertical="center"/>
    </xf>
    <xf numFmtId="0" fontId="0" fillId="0" borderId="8" xfId="0" applyFont="1" applyFill="1" applyBorder="1" applyAlignment="1"/>
    <xf numFmtId="0" fontId="0" fillId="7" borderId="8" xfId="0" applyFill="1" applyBorder="1" applyAlignment="1">
      <alignment horizontal="left" vertical="center"/>
    </xf>
    <xf numFmtId="0" fontId="0" fillId="7" borderId="0" xfId="0" applyFont="1" applyFill="1" applyBorder="1" applyAlignment="1">
      <alignment vertical="center"/>
    </xf>
    <xf numFmtId="0" fontId="36" fillId="8" borderId="0" xfId="0" applyFont="1" applyFill="1"/>
    <xf numFmtId="49" fontId="0" fillId="0" borderId="0" xfId="0" applyNumberFormat="1" applyFont="1" applyFill="1" applyBorder="1" applyAlignment="1">
      <alignment vertical="center"/>
    </xf>
    <xf numFmtId="0" fontId="0" fillId="0" borderId="0" xfId="0" applyFont="1" applyFill="1" applyBorder="1" applyAlignment="1">
      <alignment horizontal="left"/>
    </xf>
    <xf numFmtId="0" fontId="0" fillId="0" borderId="8" xfId="0" applyNumberFormat="1" applyFont="1" applyFill="1" applyBorder="1" applyAlignment="1">
      <alignment vertical="center"/>
    </xf>
    <xf numFmtId="0" fontId="0" fillId="0" borderId="8" xfId="0" applyFont="1" applyFill="1" applyBorder="1" applyAlignment="1">
      <alignment horizontal="left"/>
    </xf>
    <xf numFmtId="0" fontId="0" fillId="0" borderId="8" xfId="0" applyFill="1" applyBorder="1" applyAlignment="1"/>
    <xf numFmtId="0" fontId="0" fillId="0" borderId="8" xfId="0" applyFill="1" applyBorder="1"/>
    <xf numFmtId="0" fontId="14" fillId="7" borderId="0" xfId="0" applyFont="1" applyFill="1" applyBorder="1" applyAlignment="1">
      <alignment vertical="center"/>
    </xf>
    <xf numFmtId="0" fontId="0" fillId="8" borderId="0" xfId="0" applyFill="1" applyBorder="1"/>
    <xf numFmtId="0" fontId="0" fillId="7" borderId="10" xfId="0" applyFill="1" applyBorder="1"/>
    <xf numFmtId="0" fontId="36" fillId="7" borderId="13" xfId="0" applyFont="1" applyFill="1" applyBorder="1"/>
    <xf numFmtId="0" fontId="36" fillId="7" borderId="14" xfId="0" applyFont="1" applyFill="1" applyBorder="1"/>
    <xf numFmtId="0" fontId="12" fillId="7" borderId="11" xfId="0" applyFont="1" applyFill="1" applyBorder="1"/>
    <xf numFmtId="0" fontId="32" fillId="7" borderId="6" xfId="0" applyFont="1" applyFill="1" applyBorder="1" applyAlignment="1">
      <alignment vertical="center" textRotation="90" wrapText="1"/>
    </xf>
    <xf numFmtId="0" fontId="0" fillId="7" borderId="8" xfId="0" applyFont="1" applyFill="1" applyBorder="1"/>
    <xf numFmtId="0" fontId="32" fillId="7" borderId="8" xfId="0" applyFont="1" applyFill="1" applyBorder="1" applyAlignment="1">
      <alignment vertical="center" textRotation="90" wrapText="1"/>
    </xf>
    <xf numFmtId="0" fontId="0" fillId="7" borderId="51" xfId="0" applyFill="1" applyBorder="1" applyAlignment="1"/>
    <xf numFmtId="0" fontId="0" fillId="7" borderId="0" xfId="0" applyFill="1" applyAlignment="1">
      <alignment horizontal="right"/>
    </xf>
    <xf numFmtId="0" fontId="32" fillId="7" borderId="11" xfId="0" applyFont="1" applyFill="1" applyBorder="1" applyAlignment="1">
      <alignment horizontal="center" vertical="center" textRotation="90" wrapText="1"/>
    </xf>
    <xf numFmtId="0" fontId="32" fillId="7" borderId="0" xfId="0" applyFont="1" applyFill="1" applyBorder="1" applyAlignment="1">
      <alignment horizontal="center" vertical="center" textRotation="90" wrapText="1"/>
    </xf>
    <xf numFmtId="0" fontId="31" fillId="7" borderId="0" xfId="0" applyFont="1" applyFill="1" applyBorder="1" applyAlignment="1">
      <alignment vertical="center"/>
    </xf>
    <xf numFmtId="0" fontId="0" fillId="7" borderId="11" xfId="0" applyFill="1" applyBorder="1" applyAlignment="1">
      <alignment vertical="center"/>
    </xf>
    <xf numFmtId="0" fontId="36" fillId="7" borderId="0" xfId="0" applyFont="1" applyFill="1" applyBorder="1"/>
    <xf numFmtId="0" fontId="36" fillId="7" borderId="0" xfId="0" applyFont="1" applyFill="1" applyBorder="1" applyAlignment="1">
      <alignment horizontal="left" vertical="center"/>
    </xf>
    <xf numFmtId="0" fontId="34" fillId="7" borderId="0" xfId="0" applyFont="1" applyFill="1" applyBorder="1" applyAlignment="1">
      <alignment vertical="center"/>
    </xf>
    <xf numFmtId="0" fontId="40" fillId="7" borderId="0" xfId="0" applyFont="1" applyFill="1" applyBorder="1" applyAlignment="1">
      <alignment vertical="center"/>
    </xf>
    <xf numFmtId="0" fontId="0" fillId="7" borderId="54" xfId="0" applyFill="1" applyBorder="1"/>
    <xf numFmtId="0" fontId="0" fillId="7" borderId="51" xfId="0" applyFill="1" applyBorder="1"/>
    <xf numFmtId="0" fontId="32" fillId="7" borderId="55" xfId="0" applyFont="1" applyFill="1" applyBorder="1" applyAlignment="1">
      <alignment vertical="center" textRotation="90" wrapText="1"/>
    </xf>
    <xf numFmtId="0" fontId="0" fillId="7" borderId="50" xfId="0" applyFill="1" applyBorder="1"/>
    <xf numFmtId="0" fontId="34" fillId="0" borderId="0" xfId="0" applyFont="1" applyFill="1" applyBorder="1"/>
    <xf numFmtId="0" fontId="0" fillId="0" borderId="0" xfId="0" applyFont="1" applyFill="1" applyBorder="1"/>
    <xf numFmtId="0" fontId="39" fillId="0" borderId="0" xfId="0" applyFont="1" applyFill="1" applyBorder="1" applyAlignment="1">
      <alignment vertical="center"/>
    </xf>
    <xf numFmtId="0" fontId="12" fillId="0" borderId="0" xfId="0" applyFont="1" applyFill="1" applyBorder="1" applyAlignment="1">
      <alignment vertical="center"/>
    </xf>
    <xf numFmtId="14" fontId="0" fillId="0" borderId="0" xfId="0" applyNumberFormat="1" applyFont="1" applyFill="1" applyBorder="1" applyAlignment="1">
      <alignment vertical="center"/>
    </xf>
    <xf numFmtId="5" fontId="0" fillId="8" borderId="0" xfId="0" applyNumberFormat="1" applyFill="1" applyAlignment="1" applyProtection="1">
      <alignment horizontal="center"/>
    </xf>
    <xf numFmtId="5" fontId="0" fillId="8" borderId="0" xfId="0" applyNumberFormat="1" applyFill="1" applyProtection="1"/>
    <xf numFmtId="0" fontId="0" fillId="7" borderId="0" xfId="0" applyFill="1" applyAlignment="1">
      <alignment horizontal="left"/>
    </xf>
    <xf numFmtId="167" fontId="0" fillId="7" borderId="8" xfId="0" applyNumberFormat="1" applyFill="1" applyBorder="1" applyAlignment="1">
      <alignment vertical="center"/>
    </xf>
    <xf numFmtId="0" fontId="0" fillId="12" borderId="10" xfId="0" applyFill="1" applyBorder="1" applyAlignment="1" applyProtection="1">
      <alignment vertical="center"/>
    </xf>
    <xf numFmtId="0" fontId="0" fillId="12" borderId="10" xfId="0" applyFill="1" applyBorder="1" applyAlignment="1" applyProtection="1">
      <alignment horizontal="center" vertical="center"/>
    </xf>
    <xf numFmtId="0" fontId="0" fillId="0" borderId="9" xfId="0" applyBorder="1" applyAlignment="1" applyProtection="1">
      <alignment vertical="center"/>
    </xf>
    <xf numFmtId="0" fontId="0" fillId="0" borderId="15" xfId="0" applyBorder="1" applyAlignment="1" applyProtection="1">
      <alignment vertical="center"/>
    </xf>
    <xf numFmtId="0" fontId="0" fillId="0" borderId="56" xfId="0" applyBorder="1" applyAlignment="1" applyProtection="1">
      <alignment vertical="center"/>
    </xf>
    <xf numFmtId="0" fontId="0" fillId="0" borderId="13" xfId="0" applyBorder="1" applyAlignment="1" applyProtection="1">
      <alignment vertical="center"/>
    </xf>
    <xf numFmtId="0" fontId="0" fillId="12" borderId="12" xfId="0" applyFill="1" applyBorder="1" applyAlignment="1" applyProtection="1">
      <alignment vertical="center"/>
    </xf>
    <xf numFmtId="0" fontId="0" fillId="12" borderId="45" xfId="0" applyFill="1" applyBorder="1" applyAlignment="1" applyProtection="1">
      <alignment vertical="center"/>
    </xf>
    <xf numFmtId="0" fontId="0" fillId="12" borderId="58" xfId="0" applyFill="1" applyBorder="1" applyAlignment="1" applyProtection="1">
      <alignment vertical="center"/>
    </xf>
    <xf numFmtId="167" fontId="0" fillId="12" borderId="10" xfId="0" applyNumberFormat="1" applyFill="1" applyBorder="1" applyAlignment="1" applyProtection="1">
      <alignment vertical="center"/>
    </xf>
    <xf numFmtId="167" fontId="0" fillId="12" borderId="45" xfId="0" applyNumberFormat="1" applyFill="1" applyBorder="1" applyAlignment="1" applyProtection="1">
      <alignment vertical="center"/>
    </xf>
    <xf numFmtId="167" fontId="0" fillId="12" borderId="12" xfId="0" applyNumberFormat="1" applyFill="1" applyBorder="1" applyAlignment="1" applyProtection="1">
      <alignment vertical="center"/>
    </xf>
    <xf numFmtId="14" fontId="0" fillId="12" borderId="12" xfId="0" applyNumberFormat="1" applyFill="1" applyBorder="1" applyAlignment="1" applyProtection="1">
      <alignment vertical="center"/>
    </xf>
    <xf numFmtId="44" fontId="0" fillId="12" borderId="58" xfId="0" applyNumberFormat="1" applyFill="1" applyBorder="1" applyAlignment="1" applyProtection="1">
      <alignment vertical="center"/>
    </xf>
    <xf numFmtId="0" fontId="0" fillId="12" borderId="45" xfId="0" applyNumberFormat="1" applyFill="1" applyBorder="1" applyAlignment="1" applyProtection="1">
      <alignment vertical="center"/>
    </xf>
    <xf numFmtId="0" fontId="16" fillId="9" borderId="38" xfId="1" applyNumberFormat="1" applyFont="1" applyFill="1" applyBorder="1" applyAlignment="1" applyProtection="1">
      <alignment horizontal="left" vertical="center"/>
      <protection locked="0"/>
    </xf>
    <xf numFmtId="0" fontId="0" fillId="8" borderId="0" xfId="0" applyFill="1" applyAlignment="1" applyProtection="1">
      <alignment horizontal="right"/>
    </xf>
    <xf numFmtId="14" fontId="0" fillId="8" borderId="0" xfId="0" applyNumberFormat="1" applyFill="1" applyAlignment="1" applyProtection="1">
      <alignment horizontal="right"/>
    </xf>
    <xf numFmtId="0" fontId="41" fillId="8" borderId="0" xfId="0" applyFont="1" applyFill="1" applyAlignment="1">
      <alignment horizontal="right"/>
    </xf>
    <xf numFmtId="0" fontId="5" fillId="9" borderId="59" xfId="6" applyFill="1" applyBorder="1" applyAlignment="1" applyProtection="1">
      <alignment horizontal="center" vertical="center"/>
      <protection locked="0"/>
    </xf>
    <xf numFmtId="0" fontId="5" fillId="9" borderId="60" xfId="6" applyFill="1" applyBorder="1" applyAlignment="1" applyProtection="1">
      <alignment horizontal="center" vertical="center"/>
      <protection locked="0"/>
    </xf>
    <xf numFmtId="0" fontId="0" fillId="8" borderId="0" xfId="0" applyFill="1" applyAlignment="1" applyProtection="1">
      <alignment vertical="center"/>
    </xf>
    <xf numFmtId="0" fontId="0" fillId="8" borderId="0" xfId="0" applyFill="1" applyAlignment="1" applyProtection="1">
      <alignment horizontal="left" vertical="center"/>
    </xf>
    <xf numFmtId="0" fontId="0" fillId="8" borderId="0" xfId="0" applyFill="1" applyAlignment="1" applyProtection="1">
      <alignment horizontal="left"/>
    </xf>
    <xf numFmtId="14" fontId="0" fillId="8" borderId="0" xfId="0" applyNumberFormat="1" applyFill="1" applyAlignment="1" applyProtection="1">
      <alignment vertical="center"/>
    </xf>
    <xf numFmtId="0" fontId="16" fillId="7" borderId="0" xfId="0" applyFont="1" applyFill="1" applyAlignment="1" applyProtection="1">
      <alignment horizontal="center" vertical="center"/>
    </xf>
    <xf numFmtId="0" fontId="16" fillId="9" borderId="37" xfId="0" applyFont="1" applyFill="1" applyBorder="1" applyAlignment="1" applyProtection="1">
      <alignment horizontal="center" vertical="center"/>
    </xf>
    <xf numFmtId="0" fontId="0" fillId="8" borderId="9" xfId="0" applyFill="1" applyBorder="1" applyAlignment="1" applyProtection="1">
      <alignment vertical="center"/>
    </xf>
    <xf numFmtId="0" fontId="0" fillId="8" borderId="15" xfId="0" applyFill="1" applyBorder="1" applyAlignment="1" applyProtection="1">
      <alignment vertical="center"/>
    </xf>
    <xf numFmtId="0" fontId="0" fillId="8" borderId="9" xfId="0" applyFill="1" applyBorder="1" applyAlignment="1" applyProtection="1">
      <alignment horizontal="center" vertical="center"/>
    </xf>
    <xf numFmtId="0" fontId="0" fillId="8" borderId="0" xfId="0" applyFill="1" applyAlignment="1" applyProtection="1">
      <alignment horizontal="center" vertical="center"/>
    </xf>
    <xf numFmtId="0" fontId="0" fillId="8" borderId="45" xfId="0" applyFill="1" applyBorder="1" applyAlignment="1" applyProtection="1">
      <alignment horizontal="center" vertical="center"/>
    </xf>
    <xf numFmtId="0" fontId="0" fillId="8" borderId="56" xfId="0" applyFill="1" applyBorder="1" applyAlignment="1" applyProtection="1">
      <alignment horizontal="left" vertical="center"/>
    </xf>
    <xf numFmtId="14" fontId="0" fillId="8" borderId="0" xfId="0" applyNumberFormat="1" applyFill="1" applyAlignment="1" applyProtection="1">
      <alignment horizontal="left" vertical="center"/>
    </xf>
    <xf numFmtId="14" fontId="0" fillId="12" borderId="45" xfId="0" applyNumberFormat="1" applyFill="1" applyBorder="1" applyAlignment="1" applyProtection="1">
      <alignment horizontal="center" vertical="center"/>
    </xf>
    <xf numFmtId="0" fontId="0" fillId="12" borderId="45" xfId="0" applyNumberFormat="1" applyFill="1" applyBorder="1" applyAlignment="1" applyProtection="1">
      <alignment horizontal="center" vertical="center"/>
    </xf>
    <xf numFmtId="168" fontId="0" fillId="12" borderId="10" xfId="0" applyNumberFormat="1" applyFill="1" applyBorder="1" applyAlignment="1" applyProtection="1">
      <alignment horizontal="center" vertical="center"/>
    </xf>
    <xf numFmtId="44" fontId="0" fillId="12" borderId="10" xfId="0" applyNumberFormat="1" applyFill="1" applyBorder="1" applyAlignment="1" applyProtection="1">
      <alignment horizontal="center" vertical="center"/>
    </xf>
    <xf numFmtId="0" fontId="16" fillId="7" borderId="12" xfId="0" applyFont="1" applyFill="1" applyBorder="1" applyAlignment="1" applyProtection="1">
      <alignment horizontal="center" vertical="center"/>
    </xf>
    <xf numFmtId="0" fontId="16" fillId="7" borderId="7" xfId="0" applyFont="1" applyFill="1" applyBorder="1" applyAlignment="1" applyProtection="1">
      <alignment horizontal="center" vertical="center"/>
    </xf>
    <xf numFmtId="0" fontId="19" fillId="8" borderId="0" xfId="12" applyFont="1" applyFill="1" applyAlignment="1" applyProtection="1">
      <alignment horizontal="left" vertical="center"/>
    </xf>
    <xf numFmtId="0" fontId="13" fillId="7" borderId="0" xfId="12" applyFill="1" applyAlignment="1" applyProtection="1">
      <alignment horizontal="left"/>
    </xf>
    <xf numFmtId="0" fontId="4" fillId="7" borderId="3" xfId="4" applyFill="1" applyAlignment="1" applyProtection="1">
      <alignment horizontal="left"/>
    </xf>
    <xf numFmtId="0" fontId="13" fillId="7" borderId="0" xfId="12" applyFill="1" applyAlignment="1" applyProtection="1">
      <alignment horizontal="center"/>
    </xf>
    <xf numFmtId="0" fontId="14" fillId="7" borderId="0" xfId="0" applyFon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vertical="center"/>
    </xf>
    <xf numFmtId="0" fontId="12" fillId="7" borderId="0" xfId="0" applyFont="1" applyFill="1" applyAlignment="1">
      <alignment horizontal="left" vertical="center"/>
    </xf>
    <xf numFmtId="14" fontId="0" fillId="0" borderId="0" xfId="0" applyNumberFormat="1" applyFont="1" applyFill="1" applyBorder="1" applyAlignment="1">
      <alignment horizontal="left" vertical="center"/>
    </xf>
    <xf numFmtId="166" fontId="6" fillId="2" borderId="62" xfId="7" applyNumberFormat="1" applyBorder="1" applyAlignment="1" applyProtection="1">
      <alignment horizontal="center" vertical="center"/>
    </xf>
    <xf numFmtId="166" fontId="6" fillId="2" borderId="61" xfId="7" applyNumberFormat="1" applyBorder="1" applyAlignment="1" applyProtection="1">
      <alignment horizontal="center" vertical="center"/>
    </xf>
    <xf numFmtId="166" fontId="7" fillId="2" borderId="62" xfId="13" applyNumberFormat="1" applyFont="1" applyFill="1" applyBorder="1" applyAlignment="1" applyProtection="1">
      <alignment horizontal="center"/>
    </xf>
    <xf numFmtId="0" fontId="30" fillId="7" borderId="0" xfId="0" applyFont="1" applyFill="1" applyProtection="1"/>
    <xf numFmtId="0" fontId="12" fillId="7" borderId="0" xfId="0" applyFont="1" applyFill="1" applyAlignment="1">
      <alignment horizontal="left" vertical="center"/>
    </xf>
    <xf numFmtId="0" fontId="12" fillId="7" borderId="0" xfId="0" applyFont="1" applyFill="1" applyAlignment="1">
      <alignment vertical="center"/>
    </xf>
    <xf numFmtId="0" fontId="0" fillId="0" borderId="0" xfId="0" applyFill="1" applyBorder="1" applyAlignment="1">
      <alignment horizontal="left" vertical="center"/>
    </xf>
    <xf numFmtId="0" fontId="12" fillId="7" borderId="0" xfId="0" applyFont="1" applyFill="1" applyBorder="1" applyAlignment="1">
      <alignment horizontal="center" vertical="center"/>
    </xf>
    <xf numFmtId="0" fontId="12" fillId="7" borderId="0" xfId="0" applyFont="1" applyFill="1" applyBorder="1" applyAlignment="1">
      <alignment horizontal="left" vertical="center"/>
    </xf>
    <xf numFmtId="14" fontId="0" fillId="7" borderId="0" xfId="0" applyNumberFormat="1" applyFill="1" applyBorder="1" applyAlignment="1">
      <alignment horizontal="left" vertical="center"/>
    </xf>
    <xf numFmtId="0" fontId="42" fillId="7" borderId="0" xfId="0" applyFont="1" applyFill="1" applyAlignment="1">
      <alignment horizontal="center" vertical="center" wrapText="1"/>
    </xf>
    <xf numFmtId="0" fontId="12" fillId="7" borderId="0" xfId="0" applyFont="1" applyFill="1" applyBorder="1" applyAlignment="1"/>
    <xf numFmtId="14" fontId="0" fillId="7" borderId="0" xfId="0" applyNumberFormat="1" applyFill="1" applyBorder="1" applyAlignment="1">
      <alignment horizontal="left"/>
    </xf>
    <xf numFmtId="0" fontId="0" fillId="0" borderId="0" xfId="0" applyFill="1" applyBorder="1" applyAlignment="1"/>
    <xf numFmtId="167" fontId="0" fillId="7" borderId="0" xfId="0" applyNumberFormat="1" applyFill="1" applyBorder="1" applyAlignment="1">
      <alignment vertical="center"/>
    </xf>
    <xf numFmtId="0" fontId="0" fillId="7" borderId="0" xfId="0" applyFill="1" applyBorder="1" applyAlignment="1">
      <alignment vertical="top" wrapText="1"/>
    </xf>
    <xf numFmtId="0" fontId="36" fillId="7" borderId="0" xfId="0" applyFont="1" applyFill="1" applyBorder="1" applyAlignment="1">
      <alignment vertical="center"/>
    </xf>
    <xf numFmtId="0" fontId="23" fillId="7" borderId="0" xfId="0" applyFont="1" applyFill="1" applyBorder="1" applyAlignment="1">
      <alignment vertical="center" wrapText="1"/>
    </xf>
    <xf numFmtId="0" fontId="0" fillId="0" borderId="0" xfId="0" applyNumberFormat="1" applyFont="1" applyFill="1" applyBorder="1" applyAlignment="1">
      <alignment vertical="center"/>
    </xf>
    <xf numFmtId="0" fontId="0" fillId="7" borderId="0" xfId="0" applyFont="1" applyFill="1" applyBorder="1" applyAlignment="1">
      <alignment horizontal="center" vertical="center"/>
    </xf>
    <xf numFmtId="0" fontId="0" fillId="7" borderId="0" xfId="0" applyFont="1" applyFill="1" applyBorder="1" applyAlignment="1">
      <alignment horizontal="left" vertical="center"/>
    </xf>
    <xf numFmtId="0" fontId="0" fillId="7" borderId="0" xfId="0" applyFont="1" applyFill="1" applyBorder="1" applyAlignment="1"/>
    <xf numFmtId="0" fontId="0" fillId="0" borderId="0" xfId="0" applyFont="1" applyFill="1" applyBorder="1" applyAlignment="1">
      <alignment vertical="center"/>
    </xf>
    <xf numFmtId="0" fontId="40" fillId="7" borderId="0" xfId="0" applyFont="1" applyFill="1" applyBorder="1" applyAlignment="1"/>
    <xf numFmtId="167" fontId="0" fillId="0" borderId="0" xfId="0" applyNumberFormat="1" applyFont="1" applyFill="1" applyBorder="1" applyAlignment="1">
      <alignment vertical="center"/>
    </xf>
    <xf numFmtId="0" fontId="0" fillId="7" borderId="0" xfId="0" applyFill="1" applyAlignment="1">
      <alignment vertical="top"/>
    </xf>
    <xf numFmtId="0" fontId="3" fillId="0" borderId="2" xfId="3" applyAlignment="1" applyProtection="1">
      <alignment horizontal="left"/>
    </xf>
    <xf numFmtId="0" fontId="3" fillId="0" borderId="2" xfId="3" applyAlignment="1" applyProtection="1">
      <alignment horizontal="left"/>
    </xf>
    <xf numFmtId="0" fontId="0" fillId="0" borderId="8" xfId="0" applyFont="1" applyFill="1" applyBorder="1" applyAlignment="1">
      <alignment vertical="center"/>
    </xf>
    <xf numFmtId="0" fontId="0" fillId="12" borderId="12" xfId="0" applyFill="1" applyBorder="1" applyAlignment="1" applyProtection="1">
      <alignment horizontal="center" vertical="center"/>
    </xf>
    <xf numFmtId="0" fontId="0" fillId="0" borderId="9" xfId="0" applyBorder="1" applyAlignment="1" applyProtection="1">
      <alignment horizontal="center" vertical="center"/>
    </xf>
    <xf numFmtId="0" fontId="0" fillId="7" borderId="67" xfId="0" applyFill="1" applyBorder="1" applyProtection="1"/>
    <xf numFmtId="0" fontId="0" fillId="7" borderId="66" xfId="0" applyFill="1" applyBorder="1" applyProtection="1"/>
    <xf numFmtId="0" fontId="0" fillId="0" borderId="14" xfId="0" applyFont="1" applyFill="1" applyBorder="1" applyAlignment="1">
      <alignment horizontal="left"/>
    </xf>
    <xf numFmtId="0" fontId="0" fillId="0" borderId="68" xfId="0" applyBorder="1" applyAlignment="1" applyProtection="1">
      <alignment vertical="center"/>
    </xf>
    <xf numFmtId="0" fontId="16" fillId="7" borderId="0" xfId="0" applyFont="1" applyFill="1" applyBorder="1" applyAlignment="1" applyProtection="1">
      <protection locked="0"/>
    </xf>
    <xf numFmtId="0" fontId="0" fillId="0" borderId="0" xfId="0" applyFill="1" applyBorder="1" applyAlignment="1">
      <alignment horizontal="left" vertical="center"/>
    </xf>
    <xf numFmtId="0" fontId="0" fillId="7" borderId="7" xfId="0" applyFill="1" applyBorder="1" applyAlignment="1">
      <alignment horizontal="left"/>
    </xf>
    <xf numFmtId="169" fontId="0" fillId="0" borderId="0" xfId="0" applyNumberFormat="1" applyBorder="1" applyProtection="1"/>
    <xf numFmtId="0" fontId="0" fillId="0" borderId="0" xfId="0" applyNumberFormat="1" applyBorder="1" applyProtection="1"/>
    <xf numFmtId="166" fontId="7" fillId="2" borderId="69" xfId="13" applyNumberFormat="1" applyFont="1" applyFill="1" applyBorder="1" applyAlignment="1" applyProtection="1">
      <alignment horizontal="center"/>
    </xf>
    <xf numFmtId="0" fontId="0" fillId="8" borderId="9" xfId="0" applyFill="1" applyBorder="1" applyProtection="1"/>
    <xf numFmtId="0" fontId="0" fillId="0" borderId="8" xfId="0" applyFill="1" applyBorder="1" applyAlignment="1">
      <alignment vertical="center"/>
    </xf>
    <xf numFmtId="0" fontId="20" fillId="7" borderId="66" xfId="0" applyFont="1" applyFill="1" applyBorder="1" applyProtection="1"/>
    <xf numFmtId="0" fontId="0" fillId="7" borderId="0" xfId="0" applyFill="1" applyAlignment="1" applyProtection="1">
      <alignment horizontal="center" vertical="center"/>
    </xf>
    <xf numFmtId="0" fontId="20" fillId="7" borderId="0" xfId="0" applyFont="1" applyFill="1" applyAlignment="1" applyProtection="1">
      <alignment horizontal="right"/>
    </xf>
    <xf numFmtId="0" fontId="19" fillId="7" borderId="0" xfId="12" applyFont="1" applyFill="1" applyAlignment="1" applyProtection="1">
      <alignment horizontal="left"/>
    </xf>
    <xf numFmtId="0" fontId="0" fillId="0" borderId="0" xfId="0" applyFill="1" applyBorder="1" applyAlignment="1">
      <alignment horizontal="right"/>
    </xf>
    <xf numFmtId="0" fontId="0" fillId="7" borderId="0" xfId="0" applyFill="1" applyBorder="1" applyAlignment="1" applyProtection="1">
      <alignment horizontal="center" vertical="center"/>
      <protection locked="0"/>
    </xf>
    <xf numFmtId="0" fontId="16" fillId="7" borderId="0" xfId="0" applyNumberFormat="1" applyFont="1" applyFill="1" applyAlignment="1" applyProtection="1">
      <alignment horizontal="center" vertical="center"/>
    </xf>
    <xf numFmtId="0" fontId="16" fillId="7" borderId="0" xfId="0" applyNumberFormat="1" applyFont="1" applyFill="1" applyAlignment="1" applyProtection="1">
      <alignment horizontal="right" vertical="center"/>
    </xf>
    <xf numFmtId="0" fontId="16" fillId="7" borderId="0" xfId="0" applyFont="1" applyFill="1" applyAlignment="1" applyProtection="1">
      <alignment horizontal="right"/>
    </xf>
    <xf numFmtId="0" fontId="27" fillId="7" borderId="0" xfId="0" applyNumberFormat="1" applyFont="1" applyFill="1" applyAlignment="1" applyProtection="1">
      <alignment horizontal="left" vertical="center"/>
    </xf>
    <xf numFmtId="0" fontId="27" fillId="7" borderId="0" xfId="0" applyFont="1" applyFill="1" applyAlignment="1" applyProtection="1">
      <alignment horizontal="left"/>
    </xf>
    <xf numFmtId="0" fontId="48" fillId="7" borderId="0" xfId="12" applyFont="1" applyFill="1" applyAlignment="1" applyProtection="1">
      <alignment horizontal="left"/>
    </xf>
    <xf numFmtId="0" fontId="49" fillId="7" borderId="0" xfId="12" applyFont="1" applyFill="1" applyProtection="1"/>
    <xf numFmtId="0" fontId="34" fillId="7" borderId="0" xfId="0" applyFont="1" applyFill="1" applyAlignment="1" applyProtection="1">
      <alignment vertical="center"/>
    </xf>
    <xf numFmtId="0" fontId="34" fillId="7" borderId="0" xfId="0" applyFont="1" applyFill="1" applyBorder="1" applyAlignment="1" applyProtection="1">
      <alignment vertical="center"/>
    </xf>
    <xf numFmtId="0" fontId="0" fillId="8" borderId="9" xfId="0" applyFill="1" applyBorder="1" applyAlignment="1" applyProtection="1">
      <alignment horizontal="center" vertical="center"/>
    </xf>
    <xf numFmtId="44" fontId="0" fillId="12" borderId="45" xfId="0" applyNumberFormat="1" applyFill="1" applyBorder="1" applyAlignment="1" applyProtection="1">
      <alignment vertical="center"/>
    </xf>
    <xf numFmtId="0" fontId="0" fillId="8" borderId="0" xfId="0" applyFill="1" applyAlignment="1" applyProtection="1"/>
    <xf numFmtId="0" fontId="0" fillId="8" borderId="6" xfId="0" applyFill="1" applyBorder="1" applyAlignment="1" applyProtection="1">
      <alignment horizontal="center" vertical="center"/>
    </xf>
    <xf numFmtId="0" fontId="0" fillId="8" borderId="56" xfId="0" applyFill="1" applyBorder="1" applyAlignment="1" applyProtection="1">
      <alignment horizontal="center" vertical="center"/>
    </xf>
    <xf numFmtId="0" fontId="0" fillId="8" borderId="45" xfId="0" applyFill="1" applyBorder="1" applyProtection="1"/>
    <xf numFmtId="0" fontId="0" fillId="8" borderId="45" xfId="0" applyFill="1" applyBorder="1" applyAlignment="1" applyProtection="1">
      <alignment vertical="center"/>
    </xf>
    <xf numFmtId="0" fontId="0" fillId="8" borderId="70" xfId="0" applyFill="1" applyBorder="1" applyProtection="1"/>
    <xf numFmtId="0" fontId="0" fillId="8" borderId="58" xfId="0" applyFill="1" applyBorder="1" applyProtection="1"/>
    <xf numFmtId="0" fontId="0" fillId="8" borderId="58" xfId="0" applyFill="1" applyBorder="1" applyAlignment="1" applyProtection="1">
      <alignment vertical="center"/>
    </xf>
    <xf numFmtId="0" fontId="0" fillId="9" borderId="39" xfId="0" applyFont="1" applyFill="1" applyBorder="1" applyAlignment="1" applyProtection="1">
      <alignment horizontal="center"/>
    </xf>
    <xf numFmtId="0" fontId="0" fillId="9" borderId="40" xfId="0" applyFont="1" applyFill="1" applyBorder="1" applyAlignment="1" applyProtection="1">
      <alignment horizontal="center"/>
    </xf>
    <xf numFmtId="0" fontId="0" fillId="9" borderId="34" xfId="0" applyFont="1" applyFill="1" applyBorder="1" applyAlignment="1" applyProtection="1">
      <alignment horizontal="center"/>
    </xf>
    <xf numFmtId="0" fontId="0" fillId="9" borderId="36" xfId="0" applyFont="1" applyFill="1" applyBorder="1" applyAlignment="1" applyProtection="1">
      <alignment horizontal="center"/>
    </xf>
    <xf numFmtId="0" fontId="0" fillId="7" borderId="10" xfId="0" applyFill="1" applyBorder="1" applyAlignment="1" applyProtection="1">
      <alignment horizontal="center" vertical="center"/>
    </xf>
    <xf numFmtId="0" fontId="0" fillId="7" borderId="6" xfId="0" applyFill="1" applyBorder="1" applyAlignment="1" applyProtection="1">
      <alignment horizontal="center" vertical="center"/>
    </xf>
    <xf numFmtId="0" fontId="16" fillId="7" borderId="12" xfId="0" applyFont="1" applyFill="1" applyBorder="1" applyAlignment="1" applyProtection="1">
      <alignment horizontal="center" vertical="center"/>
    </xf>
    <xf numFmtId="0" fontId="16" fillId="7" borderId="7" xfId="0" applyFont="1" applyFill="1" applyBorder="1" applyAlignment="1" applyProtection="1">
      <alignment horizontal="center" vertical="center"/>
    </xf>
    <xf numFmtId="0" fontId="16" fillId="11" borderId="12" xfId="0" applyFont="1" applyFill="1" applyBorder="1" applyAlignment="1" applyProtection="1">
      <alignment horizontal="center" vertical="center"/>
    </xf>
    <xf numFmtId="0" fontId="16" fillId="11" borderId="7" xfId="0" applyFont="1" applyFill="1" applyBorder="1" applyAlignment="1" applyProtection="1">
      <alignment horizontal="center" vertical="center"/>
    </xf>
    <xf numFmtId="0" fontId="16" fillId="11" borderId="13" xfId="0" applyFont="1" applyFill="1" applyBorder="1" applyAlignment="1" applyProtection="1">
      <alignment horizontal="center" vertical="center"/>
    </xf>
    <xf numFmtId="0" fontId="16" fillId="11" borderId="14" xfId="0" applyFont="1" applyFill="1" applyBorder="1" applyAlignment="1" applyProtection="1">
      <alignment horizontal="center" vertical="center"/>
    </xf>
    <xf numFmtId="0" fontId="8" fillId="3" borderId="10" xfId="8" applyBorder="1" applyAlignment="1" applyProtection="1">
      <alignment horizontal="center" vertical="center"/>
    </xf>
    <xf numFmtId="0" fontId="8" fillId="3" borderId="6" xfId="8" applyBorder="1" applyAlignment="1" applyProtection="1">
      <alignment horizontal="center" vertical="center"/>
    </xf>
    <xf numFmtId="0" fontId="13" fillId="7" borderId="0" xfId="12" applyFill="1" applyAlignment="1" applyProtection="1">
      <alignment horizontal="left" vertical="center"/>
    </xf>
    <xf numFmtId="0" fontId="19" fillId="7" borderId="0" xfId="12" applyFont="1" applyFill="1" applyAlignment="1" applyProtection="1">
      <alignment horizontal="left" vertical="center"/>
    </xf>
    <xf numFmtId="0" fontId="50" fillId="7" borderId="0" xfId="2" applyFont="1" applyFill="1" applyBorder="1" applyAlignment="1" applyProtection="1">
      <alignment horizontal="center"/>
    </xf>
    <xf numFmtId="0" fontId="27" fillId="7" borderId="0" xfId="0" applyFont="1" applyFill="1" applyBorder="1" applyAlignment="1" applyProtection="1">
      <alignment horizontal="left" vertical="center"/>
    </xf>
    <xf numFmtId="0" fontId="19" fillId="7" borderId="0" xfId="12" applyFont="1" applyFill="1" applyAlignment="1" applyProtection="1">
      <alignment horizontal="center" vertical="center"/>
    </xf>
    <xf numFmtId="0" fontId="19" fillId="8" borderId="0" xfId="12" applyFont="1" applyFill="1" applyAlignment="1" applyProtection="1">
      <alignment horizontal="left"/>
    </xf>
    <xf numFmtId="0" fontId="19" fillId="8" borderId="0" xfId="12" applyFont="1" applyFill="1" applyAlignment="1" applyProtection="1">
      <alignment horizontal="left" vertical="center"/>
    </xf>
    <xf numFmtId="0" fontId="13" fillId="7" borderId="0" xfId="12" applyFill="1" applyAlignment="1" applyProtection="1">
      <alignment horizontal="center"/>
    </xf>
    <xf numFmtId="0" fontId="19" fillId="7" borderId="0" xfId="12" applyFont="1" applyFill="1" applyAlignment="1" applyProtection="1">
      <alignment horizontal="left"/>
    </xf>
    <xf numFmtId="0" fontId="4" fillId="7" borderId="3" xfId="4" applyFill="1" applyAlignment="1" applyProtection="1">
      <alignment horizontal="left"/>
    </xf>
    <xf numFmtId="0" fontId="29" fillId="2" borderId="5" xfId="6" applyFont="1" applyAlignment="1" applyProtection="1">
      <alignment horizontal="left" vertical="center" wrapText="1"/>
    </xf>
    <xf numFmtId="0" fontId="5" fillId="2" borderId="5" xfId="6" applyAlignment="1" applyProtection="1">
      <alignment horizontal="left" vertical="center"/>
    </xf>
    <xf numFmtId="0" fontId="16" fillId="9" borderId="39" xfId="0" applyFont="1" applyFill="1" applyBorder="1" applyAlignment="1" applyProtection="1">
      <alignment horizontal="left"/>
      <protection locked="0"/>
    </xf>
    <xf numFmtId="0" fontId="16" fillId="9" borderId="40" xfId="0" applyFont="1" applyFill="1" applyBorder="1" applyAlignment="1" applyProtection="1">
      <alignment horizontal="left"/>
      <protection locked="0"/>
    </xf>
    <xf numFmtId="0" fontId="10" fillId="7" borderId="1" xfId="2" applyFont="1" applyFill="1" applyAlignment="1" applyProtection="1">
      <alignment horizontal="center"/>
    </xf>
    <xf numFmtId="0" fontId="13" fillId="7" borderId="0" xfId="12" applyFill="1" applyAlignment="1" applyProtection="1">
      <alignment horizontal="center" vertical="center"/>
    </xf>
    <xf numFmtId="0" fontId="0" fillId="8" borderId="9" xfId="0" applyFill="1" applyBorder="1" applyAlignment="1" applyProtection="1">
      <alignment horizontal="center" vertical="center"/>
    </xf>
    <xf numFmtId="0" fontId="13" fillId="7" borderId="0" xfId="12" applyFill="1" applyAlignment="1" applyProtection="1">
      <alignment horizontal="left"/>
    </xf>
    <xf numFmtId="167" fontId="16" fillId="9" borderId="39" xfId="0" applyNumberFormat="1" applyFont="1" applyFill="1" applyBorder="1" applyAlignment="1" applyProtection="1">
      <alignment horizontal="left"/>
      <protection locked="0"/>
    </xf>
    <xf numFmtId="167" fontId="16" fillId="9" borderId="41" xfId="0" applyNumberFormat="1" applyFont="1" applyFill="1" applyBorder="1" applyAlignment="1" applyProtection="1">
      <alignment horizontal="left"/>
      <protection locked="0"/>
    </xf>
    <xf numFmtId="167" fontId="16" fillId="9" borderId="40" xfId="0" applyNumberFormat="1" applyFont="1" applyFill="1" applyBorder="1" applyAlignment="1" applyProtection="1">
      <alignment horizontal="left"/>
      <protection locked="0"/>
    </xf>
    <xf numFmtId="167" fontId="16" fillId="9" borderId="34" xfId="0" applyNumberFormat="1" applyFont="1" applyFill="1" applyBorder="1" applyAlignment="1" applyProtection="1">
      <alignment horizontal="left"/>
      <protection locked="0"/>
    </xf>
    <xf numFmtId="167" fontId="16" fillId="9" borderId="35" xfId="0" applyNumberFormat="1" applyFont="1" applyFill="1" applyBorder="1" applyAlignment="1" applyProtection="1">
      <alignment horizontal="left"/>
      <protection locked="0"/>
    </xf>
    <xf numFmtId="167" fontId="16" fillId="9" borderId="36" xfId="0" applyNumberFormat="1" applyFont="1" applyFill="1" applyBorder="1" applyAlignment="1" applyProtection="1">
      <alignment horizontal="left"/>
      <protection locked="0"/>
    </xf>
    <xf numFmtId="0" fontId="16" fillId="9" borderId="41" xfId="0" applyFont="1" applyFill="1" applyBorder="1" applyAlignment="1" applyProtection="1">
      <alignment horizontal="left"/>
      <protection locked="0"/>
    </xf>
    <xf numFmtId="49" fontId="13" fillId="9" borderId="39" xfId="12" applyNumberFormat="1" applyFill="1" applyBorder="1" applyAlignment="1" applyProtection="1">
      <alignment horizontal="left" vertical="center"/>
      <protection locked="0"/>
    </xf>
    <xf numFmtId="49" fontId="16" fillId="9" borderId="41" xfId="0" applyNumberFormat="1" applyFont="1" applyFill="1" applyBorder="1" applyAlignment="1" applyProtection="1">
      <alignment horizontal="left" vertical="center"/>
      <protection locked="0"/>
    </xf>
    <xf numFmtId="49" fontId="16" fillId="9" borderId="40" xfId="0" applyNumberFormat="1" applyFont="1" applyFill="1" applyBorder="1" applyAlignment="1" applyProtection="1">
      <alignment horizontal="left" vertical="center"/>
      <protection locked="0"/>
    </xf>
    <xf numFmtId="0" fontId="16" fillId="9" borderId="39" xfId="0" applyFont="1" applyFill="1" applyBorder="1" applyAlignment="1" applyProtection="1">
      <alignment horizontal="left" vertical="center"/>
      <protection locked="0"/>
    </xf>
    <xf numFmtId="0" fontId="16" fillId="9" borderId="41" xfId="0" applyFont="1" applyFill="1" applyBorder="1" applyAlignment="1" applyProtection="1">
      <alignment horizontal="left" vertical="center"/>
      <protection locked="0"/>
    </xf>
    <xf numFmtId="0" fontId="16" fillId="9" borderId="40" xfId="0" applyFont="1" applyFill="1" applyBorder="1" applyAlignment="1" applyProtection="1">
      <alignment horizontal="left" vertical="center"/>
      <protection locked="0"/>
    </xf>
    <xf numFmtId="0" fontId="0" fillId="9" borderId="42" xfId="0" applyFill="1" applyBorder="1" applyAlignment="1" applyProtection="1">
      <alignment horizontal="left" vertical="top" wrapText="1"/>
      <protection locked="0"/>
    </xf>
    <xf numFmtId="0" fontId="0" fillId="9" borderId="43" xfId="0" applyFill="1" applyBorder="1" applyAlignment="1" applyProtection="1">
      <alignment horizontal="left" vertical="top" wrapText="1"/>
      <protection locked="0"/>
    </xf>
    <xf numFmtId="0" fontId="0" fillId="9" borderId="44" xfId="0" applyFill="1" applyBorder="1" applyAlignment="1" applyProtection="1">
      <alignment horizontal="left" vertical="top" wrapText="1"/>
      <protection locked="0"/>
    </xf>
    <xf numFmtId="0" fontId="0" fillId="9" borderId="29" xfId="0" applyFill="1" applyBorder="1" applyAlignment="1" applyProtection="1">
      <alignment horizontal="left" vertical="top" wrapText="1"/>
      <protection locked="0"/>
    </xf>
    <xf numFmtId="0" fontId="0" fillId="9" borderId="0" xfId="0" applyFill="1" applyBorder="1" applyAlignment="1" applyProtection="1">
      <alignment horizontal="left" vertical="top" wrapText="1"/>
      <protection locked="0"/>
    </xf>
    <xf numFmtId="0" fontId="0" fillId="9" borderId="30" xfId="0" applyFill="1" applyBorder="1" applyAlignment="1" applyProtection="1">
      <alignment horizontal="left" vertical="top" wrapText="1"/>
      <protection locked="0"/>
    </xf>
    <xf numFmtId="0" fontId="0" fillId="9" borderId="31" xfId="0" applyFill="1" applyBorder="1" applyAlignment="1" applyProtection="1">
      <alignment horizontal="left" vertical="top" wrapText="1"/>
      <protection locked="0"/>
    </xf>
    <xf numFmtId="0" fontId="0" fillId="9" borderId="32" xfId="0" applyFill="1" applyBorder="1" applyAlignment="1" applyProtection="1">
      <alignment horizontal="left" vertical="top" wrapText="1"/>
      <protection locked="0"/>
    </xf>
    <xf numFmtId="0" fontId="0" fillId="9" borderId="33" xfId="0" applyFill="1" applyBorder="1" applyAlignment="1" applyProtection="1">
      <alignment horizontal="left" vertical="top" wrapText="1"/>
      <protection locked="0"/>
    </xf>
    <xf numFmtId="0" fontId="16" fillId="7" borderId="0" xfId="0" applyFont="1" applyFill="1" applyAlignment="1" applyProtection="1">
      <alignment horizontal="left" vertical="center"/>
    </xf>
    <xf numFmtId="0" fontId="16" fillId="7" borderId="0" xfId="0" applyFont="1" applyFill="1" applyBorder="1" applyAlignment="1" applyProtection="1">
      <alignment horizontal="left" vertical="center"/>
    </xf>
    <xf numFmtId="0" fontId="13" fillId="9" borderId="39" xfId="12" applyNumberFormat="1" applyFill="1" applyBorder="1" applyAlignment="1" applyProtection="1">
      <alignment horizontal="left" vertical="center"/>
      <protection locked="0"/>
    </xf>
    <xf numFmtId="0" fontId="16" fillId="9" borderId="41" xfId="0" applyNumberFormat="1" applyFont="1" applyFill="1" applyBorder="1" applyAlignment="1" applyProtection="1">
      <alignment horizontal="left" vertical="center"/>
      <protection locked="0"/>
    </xf>
    <xf numFmtId="0" fontId="16" fillId="9" borderId="40" xfId="0" applyNumberFormat="1" applyFont="1" applyFill="1" applyBorder="1" applyAlignment="1" applyProtection="1">
      <alignment horizontal="left" vertical="center"/>
      <protection locked="0"/>
    </xf>
    <xf numFmtId="0" fontId="16" fillId="9" borderId="39" xfId="0" applyFont="1" applyFill="1" applyBorder="1" applyAlignment="1" applyProtection="1">
      <alignment horizontal="center"/>
      <protection locked="0"/>
    </xf>
    <xf numFmtId="0" fontId="16" fillId="9" borderId="41" xfId="0" applyFont="1" applyFill="1" applyBorder="1" applyAlignment="1" applyProtection="1">
      <alignment horizontal="center"/>
      <protection locked="0"/>
    </xf>
    <xf numFmtId="0" fontId="16" fillId="13" borderId="39" xfId="0" applyFont="1" applyFill="1" applyBorder="1" applyAlignment="1" applyProtection="1">
      <alignment horizontal="left" vertical="center"/>
      <protection locked="0"/>
    </xf>
    <xf numFmtId="0" fontId="16" fillId="13" borderId="40" xfId="0" applyFont="1" applyFill="1" applyBorder="1" applyAlignment="1" applyProtection="1">
      <alignment horizontal="left" vertical="center"/>
      <protection locked="0"/>
    </xf>
    <xf numFmtId="0" fontId="29" fillId="2" borderId="19" xfId="6" applyFont="1" applyBorder="1" applyAlignment="1" applyProtection="1">
      <alignment horizontal="left"/>
    </xf>
    <xf numFmtId="0" fontId="29" fillId="2" borderId="20" xfId="6" applyFont="1" applyBorder="1" applyAlignment="1" applyProtection="1">
      <alignment horizontal="left"/>
    </xf>
    <xf numFmtId="0" fontId="29" fillId="2" borderId="28" xfId="6" applyFont="1" applyBorder="1" applyAlignment="1" applyProtection="1">
      <alignment horizontal="left"/>
    </xf>
    <xf numFmtId="0" fontId="5" fillId="2" borderId="19" xfId="6" applyBorder="1" applyAlignment="1" applyProtection="1">
      <alignment horizontal="left" vertical="center"/>
    </xf>
    <xf numFmtId="0" fontId="5" fillId="2" borderId="20" xfId="6" applyBorder="1" applyAlignment="1" applyProtection="1">
      <alignment horizontal="left" vertical="center"/>
    </xf>
    <xf numFmtId="0" fontId="5" fillId="2" borderId="21" xfId="6" applyBorder="1" applyAlignment="1" applyProtection="1">
      <alignment horizontal="left" vertical="center"/>
    </xf>
    <xf numFmtId="0" fontId="29" fillId="2" borderId="63" xfId="6" applyFont="1" applyBorder="1" applyAlignment="1" applyProtection="1">
      <alignment horizontal="left"/>
      <protection locked="0"/>
    </xf>
    <xf numFmtId="0" fontId="0" fillId="0" borderId="64" xfId="0" applyBorder="1"/>
    <xf numFmtId="0" fontId="0" fillId="0" borderId="65" xfId="0" applyBorder="1"/>
    <xf numFmtId="0" fontId="33" fillId="7" borderId="1" xfId="2" applyFont="1" applyFill="1" applyAlignment="1" applyProtection="1">
      <alignment horizontal="center"/>
    </xf>
    <xf numFmtId="0" fontId="5" fillId="2" borderId="19" xfId="6" applyFont="1" applyBorder="1" applyAlignment="1" applyProtection="1">
      <alignment horizontal="left" vertical="center"/>
    </xf>
    <xf numFmtId="0" fontId="5" fillId="2" borderId="20" xfId="6" applyFont="1" applyBorder="1" applyAlignment="1" applyProtection="1">
      <alignment horizontal="left" vertical="center"/>
    </xf>
    <xf numFmtId="0" fontId="5" fillId="2" borderId="21" xfId="6" applyFont="1" applyBorder="1" applyAlignment="1" applyProtection="1">
      <alignment horizontal="left" vertical="center"/>
    </xf>
    <xf numFmtId="0" fontId="5" fillId="2" borderId="22" xfId="6" applyBorder="1" applyAlignment="1" applyProtection="1">
      <alignment horizontal="left" vertical="center" wrapText="1"/>
    </xf>
    <xf numFmtId="0" fontId="5" fillId="2" borderId="23" xfId="6" applyBorder="1" applyAlignment="1" applyProtection="1">
      <alignment horizontal="left" vertical="center" wrapText="1"/>
    </xf>
    <xf numFmtId="0" fontId="5" fillId="2" borderId="24" xfId="6" applyBorder="1" applyAlignment="1" applyProtection="1">
      <alignment horizontal="left" vertical="center" wrapText="1"/>
    </xf>
    <xf numFmtId="0" fontId="5" fillId="2" borderId="18" xfId="6" applyBorder="1" applyAlignment="1" applyProtection="1">
      <alignment horizontal="left" vertical="center" wrapText="1"/>
    </xf>
    <xf numFmtId="0" fontId="5" fillId="2" borderId="0" xfId="6" applyBorder="1" applyAlignment="1" applyProtection="1">
      <alignment horizontal="left" vertical="center" wrapText="1"/>
    </xf>
    <xf numFmtId="0" fontId="5" fillId="2" borderId="16" xfId="6" applyBorder="1" applyAlignment="1" applyProtection="1">
      <alignment horizontal="left" vertical="center" wrapText="1"/>
    </xf>
    <xf numFmtId="0" fontId="5" fillId="2" borderId="25" xfId="6" applyBorder="1" applyAlignment="1" applyProtection="1">
      <alignment horizontal="left" vertical="center" wrapText="1"/>
    </xf>
    <xf numFmtId="0" fontId="5" fillId="2" borderId="26" xfId="6" applyBorder="1" applyAlignment="1" applyProtection="1">
      <alignment horizontal="left" vertical="center" wrapText="1"/>
    </xf>
    <xf numFmtId="0" fontId="5" fillId="2" borderId="27" xfId="6" applyBorder="1" applyAlignment="1" applyProtection="1">
      <alignment horizontal="left" vertical="center" wrapText="1"/>
    </xf>
    <xf numFmtId="0" fontId="10" fillId="7" borderId="1" xfId="2" applyFont="1" applyFill="1" applyAlignment="1" applyProtection="1">
      <alignment horizontal="center" vertical="center"/>
    </xf>
    <xf numFmtId="0" fontId="12" fillId="7" borderId="0" xfId="0" applyFont="1" applyFill="1" applyBorder="1" applyAlignment="1">
      <alignment horizontal="left" vertical="center"/>
    </xf>
    <xf numFmtId="0" fontId="0" fillId="7" borderId="0" xfId="0" applyFill="1" applyAlignment="1">
      <alignment horizontal="left"/>
    </xf>
    <xf numFmtId="0" fontId="0" fillId="7" borderId="7" xfId="0" applyFill="1" applyBorder="1" applyAlignment="1">
      <alignment horizontal="left"/>
    </xf>
    <xf numFmtId="0" fontId="0" fillId="0" borderId="0" xfId="0" applyFill="1" applyBorder="1" applyAlignment="1">
      <alignment horizontal="center" vertical="center"/>
    </xf>
    <xf numFmtId="0" fontId="0" fillId="0" borderId="8" xfId="0" applyFont="1" applyFill="1" applyBorder="1" applyAlignment="1">
      <alignment horizontal="center"/>
    </xf>
    <xf numFmtId="49" fontId="0" fillId="0" borderId="0" xfId="0" applyNumberFormat="1" applyFont="1" applyFill="1" applyBorder="1" applyAlignment="1">
      <alignment horizontal="left" vertical="center"/>
    </xf>
    <xf numFmtId="14" fontId="0" fillId="7" borderId="0" xfId="0" applyNumberFormat="1" applyFill="1" applyBorder="1" applyAlignment="1">
      <alignment horizontal="center" vertical="center"/>
    </xf>
    <xf numFmtId="0" fontId="0" fillId="0" borderId="0" xfId="0" applyFill="1" applyBorder="1" applyAlignment="1">
      <alignment horizontal="left" vertical="center"/>
    </xf>
    <xf numFmtId="0" fontId="0" fillId="0" borderId="8" xfId="0" applyFont="1" applyFill="1" applyBorder="1" applyAlignment="1">
      <alignment horizontal="center" vertical="center"/>
    </xf>
    <xf numFmtId="0" fontId="0" fillId="0" borderId="0" xfId="0" applyFont="1" applyFill="1" applyBorder="1" applyAlignment="1">
      <alignment horizontal="left" vertical="center"/>
    </xf>
    <xf numFmtId="167" fontId="0" fillId="0" borderId="0" xfId="0" applyNumberFormat="1" applyFont="1" applyFill="1" applyBorder="1" applyAlignment="1">
      <alignment horizontal="left" vertical="center"/>
    </xf>
    <xf numFmtId="0" fontId="0" fillId="0" borderId="8" xfId="0" applyFont="1" applyFill="1" applyBorder="1" applyAlignment="1">
      <alignment horizontal="left" vertical="center"/>
    </xf>
    <xf numFmtId="167" fontId="0" fillId="7" borderId="8" xfId="0" applyNumberFormat="1" applyFill="1" applyBorder="1" applyAlignment="1">
      <alignment horizontal="left" vertical="center"/>
    </xf>
    <xf numFmtId="14" fontId="0" fillId="7" borderId="0" xfId="0" applyNumberFormat="1" applyFill="1" applyBorder="1" applyAlignment="1">
      <alignment horizontal="left" vertical="center"/>
    </xf>
    <xf numFmtId="0" fontId="14" fillId="7" borderId="0" xfId="0" applyFont="1" applyFill="1" applyBorder="1" applyAlignment="1">
      <alignment horizontal="left" vertical="center"/>
    </xf>
    <xf numFmtId="0" fontId="40" fillId="7" borderId="8" xfId="0" applyFont="1" applyFill="1" applyBorder="1" applyAlignment="1">
      <alignment horizontal="left" vertical="center"/>
    </xf>
    <xf numFmtId="0" fontId="12" fillId="7" borderId="10" xfId="0" applyFont="1" applyFill="1" applyBorder="1" applyAlignment="1">
      <alignment horizontal="center"/>
    </xf>
    <xf numFmtId="0" fontId="12" fillId="7" borderId="11" xfId="0" applyFont="1" applyFill="1" applyBorder="1" applyAlignment="1">
      <alignment horizontal="center"/>
    </xf>
    <xf numFmtId="167" fontId="0" fillId="0" borderId="8" xfId="0" applyNumberFormat="1" applyFont="1" applyFill="1" applyBorder="1" applyAlignment="1">
      <alignment horizontal="left" vertical="center"/>
    </xf>
    <xf numFmtId="0" fontId="0" fillId="0" borderId="8" xfId="0" applyNumberFormat="1" applyFont="1" applyFill="1" applyBorder="1" applyAlignment="1">
      <alignment horizontal="left" vertical="center"/>
    </xf>
    <xf numFmtId="14" fontId="30" fillId="7" borderId="0" xfId="0" applyNumberFormat="1" applyFont="1" applyFill="1" applyAlignment="1">
      <alignment horizontal="left" vertical="center"/>
    </xf>
    <xf numFmtId="0" fontId="12" fillId="7" borderId="0" xfId="0" applyFont="1" applyFill="1" applyBorder="1" applyAlignment="1">
      <alignment horizontal="center" vertical="center"/>
    </xf>
    <xf numFmtId="0" fontId="12" fillId="7" borderId="8" xfId="0" applyFont="1" applyFill="1" applyBorder="1" applyAlignment="1">
      <alignment horizontal="center" vertical="center"/>
    </xf>
    <xf numFmtId="0" fontId="0" fillId="7" borderId="8" xfId="0" applyFill="1" applyBorder="1" applyAlignment="1">
      <alignment horizontal="center"/>
    </xf>
    <xf numFmtId="0" fontId="0" fillId="7" borderId="0" xfId="0" applyFill="1" applyBorder="1" applyAlignment="1">
      <alignment horizontal="left" vertical="top" wrapText="1"/>
    </xf>
    <xf numFmtId="0" fontId="36" fillId="7" borderId="8" xfId="0" applyFont="1" applyFill="1" applyBorder="1" applyAlignment="1">
      <alignment horizontal="left" vertical="center"/>
    </xf>
    <xf numFmtId="0" fontId="40" fillId="7" borderId="11" xfId="0" applyFont="1" applyFill="1" applyBorder="1" applyAlignment="1">
      <alignment horizontal="center"/>
    </xf>
    <xf numFmtId="0" fontId="40" fillId="7" borderId="6" xfId="0" applyFont="1" applyFill="1" applyBorder="1" applyAlignment="1">
      <alignment horizontal="center"/>
    </xf>
    <xf numFmtId="0" fontId="40" fillId="7" borderId="10" xfId="0" applyFont="1" applyFill="1" applyBorder="1" applyAlignment="1">
      <alignment horizontal="center"/>
    </xf>
    <xf numFmtId="0" fontId="0" fillId="7" borderId="52" xfId="0" applyFill="1" applyBorder="1" applyAlignment="1">
      <alignment horizontal="center"/>
    </xf>
    <xf numFmtId="0" fontId="0" fillId="7" borderId="50" xfId="0" applyFill="1" applyBorder="1" applyAlignment="1">
      <alignment horizontal="center"/>
    </xf>
    <xf numFmtId="0" fontId="0" fillId="7" borderId="53" xfId="0" applyFill="1" applyBorder="1" applyAlignment="1">
      <alignment horizontal="center"/>
    </xf>
    <xf numFmtId="0" fontId="30" fillId="7" borderId="0" xfId="0" applyFont="1" applyFill="1" applyBorder="1" applyAlignment="1">
      <alignment horizontal="center" vertical="top" wrapText="1"/>
    </xf>
    <xf numFmtId="0" fontId="12" fillId="7" borderId="0" xfId="0" applyFont="1" applyFill="1" applyAlignment="1">
      <alignment horizontal="left" vertical="center"/>
    </xf>
    <xf numFmtId="0" fontId="14" fillId="7" borderId="0" xfId="0" applyFont="1" applyFill="1" applyAlignment="1">
      <alignment horizontal="left" vertical="center"/>
    </xf>
    <xf numFmtId="0" fontId="0" fillId="7" borderId="11" xfId="0" applyFill="1" applyBorder="1" applyAlignment="1">
      <alignment horizontal="center" vertical="center"/>
    </xf>
    <xf numFmtId="14" fontId="0" fillId="0" borderId="0" xfId="0" applyNumberFormat="1" applyFont="1" applyFill="1" applyBorder="1" applyAlignment="1">
      <alignment horizontal="left" vertical="center"/>
    </xf>
    <xf numFmtId="0" fontId="23" fillId="7" borderId="10" xfId="0" applyFont="1" applyFill="1" applyBorder="1" applyAlignment="1">
      <alignment horizontal="center" vertical="center" wrapText="1"/>
    </xf>
    <xf numFmtId="0" fontId="23" fillId="7" borderId="11" xfId="0" applyFont="1" applyFill="1" applyBorder="1" applyAlignment="1">
      <alignment horizontal="center" vertical="center" wrapText="1"/>
    </xf>
    <xf numFmtId="0" fontId="23" fillId="7" borderId="6" xfId="0" applyFont="1" applyFill="1" applyBorder="1" applyAlignment="1">
      <alignment horizontal="center" vertical="center" wrapText="1"/>
    </xf>
    <xf numFmtId="0" fontId="23" fillId="7" borderId="12" xfId="0" applyFont="1" applyFill="1" applyBorder="1" applyAlignment="1">
      <alignment horizontal="center" vertical="center" wrapText="1"/>
    </xf>
    <xf numFmtId="0" fontId="23" fillId="7" borderId="0" xfId="0" applyFont="1" applyFill="1" applyBorder="1" applyAlignment="1">
      <alignment horizontal="center" vertical="center" wrapText="1"/>
    </xf>
    <xf numFmtId="0" fontId="23" fillId="7" borderId="7" xfId="0" applyFont="1" applyFill="1" applyBorder="1" applyAlignment="1">
      <alignment horizontal="center" vertical="center" wrapText="1"/>
    </xf>
    <xf numFmtId="0" fontId="23" fillId="7" borderId="13" xfId="0" applyFont="1" applyFill="1" applyBorder="1" applyAlignment="1">
      <alignment horizontal="center" vertical="center" wrapText="1"/>
    </xf>
    <xf numFmtId="0" fontId="23" fillId="7" borderId="8" xfId="0" applyFont="1" applyFill="1" applyBorder="1" applyAlignment="1">
      <alignment horizontal="center" vertical="center" wrapText="1"/>
    </xf>
    <xf numFmtId="0" fontId="23" fillId="7" borderId="14" xfId="0" applyFont="1" applyFill="1" applyBorder="1" applyAlignment="1">
      <alignment horizontal="center" vertical="center" wrapText="1"/>
    </xf>
    <xf numFmtId="14" fontId="40" fillId="7" borderId="0" xfId="0" applyNumberFormat="1" applyFont="1" applyFill="1" applyBorder="1" applyAlignment="1">
      <alignment horizontal="center" vertical="center"/>
    </xf>
    <xf numFmtId="14" fontId="34" fillId="7" borderId="0" xfId="0" applyNumberFormat="1" applyFont="1" applyFill="1" applyBorder="1" applyAlignment="1">
      <alignment horizontal="center" vertical="center"/>
    </xf>
    <xf numFmtId="0" fontId="34" fillId="7" borderId="0" xfId="0" applyFont="1" applyFill="1" applyBorder="1" applyAlignment="1">
      <alignment horizontal="left" vertical="center"/>
    </xf>
    <xf numFmtId="0" fontId="40" fillId="7" borderId="0" xfId="0" applyFont="1" applyFill="1" applyBorder="1" applyAlignment="1">
      <alignment horizontal="left" vertical="center"/>
    </xf>
    <xf numFmtId="0" fontId="0" fillId="0" borderId="15" xfId="0" applyBorder="1" applyAlignment="1" applyProtection="1">
      <alignment horizontal="center" vertical="center"/>
    </xf>
    <xf numFmtId="0" fontId="0" fillId="0" borderId="57" xfId="0" applyBorder="1" applyAlignment="1" applyProtection="1">
      <alignment horizontal="center" vertical="center"/>
    </xf>
    <xf numFmtId="0" fontId="0" fillId="0" borderId="56" xfId="0" applyBorder="1" applyAlignment="1" applyProtection="1">
      <alignment horizontal="center" vertical="center"/>
    </xf>
    <xf numFmtId="0" fontId="3" fillId="0" borderId="2" xfId="3" applyAlignment="1" applyProtection="1">
      <alignment horizontal="left" vertical="center"/>
    </xf>
    <xf numFmtId="0" fontId="3" fillId="0" borderId="2" xfId="3" applyAlignment="1" applyProtection="1">
      <alignment horizontal="left"/>
    </xf>
    <xf numFmtId="0" fontId="0" fillId="0" borderId="11" xfId="0" applyBorder="1" applyAlignment="1" applyProtection="1">
      <alignment horizontal="center" vertical="center"/>
    </xf>
    <xf numFmtId="0" fontId="43" fillId="7" borderId="0" xfId="0" applyFont="1" applyFill="1" applyAlignment="1">
      <alignment horizontal="left" vertical="center"/>
    </xf>
    <xf numFmtId="0" fontId="44" fillId="7" borderId="0" xfId="0" applyFont="1" applyFill="1" applyAlignment="1">
      <alignment horizontal="center" vertical="center"/>
    </xf>
    <xf numFmtId="0" fontId="0" fillId="7" borderId="0" xfId="0" applyFill="1" applyAlignment="1">
      <alignment horizontal="center" vertical="center"/>
    </xf>
    <xf numFmtId="0" fontId="0" fillId="7" borderId="0" xfId="0" applyFont="1" applyFill="1" applyBorder="1" applyAlignment="1">
      <alignment horizontal="left" vertical="center"/>
    </xf>
    <xf numFmtId="0" fontId="12" fillId="7" borderId="0" xfId="0" applyFont="1" applyFill="1" applyAlignment="1">
      <alignment horizontal="left"/>
    </xf>
    <xf numFmtId="0" fontId="12" fillId="7" borderId="0" xfId="0" applyFont="1" applyFill="1" applyBorder="1" applyAlignment="1">
      <alignment horizontal="left"/>
    </xf>
    <xf numFmtId="0" fontId="0" fillId="7" borderId="0" xfId="0" applyFont="1" applyFill="1" applyAlignment="1">
      <alignment horizontal="left" vertical="center"/>
    </xf>
    <xf numFmtId="14" fontId="0" fillId="7" borderId="0" xfId="0" applyNumberFormat="1" applyFont="1" applyFill="1" applyBorder="1" applyAlignment="1">
      <alignment horizontal="left" vertical="center"/>
    </xf>
    <xf numFmtId="0" fontId="45" fillId="0" borderId="0" xfId="0" applyNumberFormat="1" applyFont="1" applyFill="1" applyBorder="1" applyAlignment="1">
      <alignment horizontal="center" vertical="center"/>
    </xf>
    <xf numFmtId="44" fontId="0" fillId="0" borderId="0" xfId="0" applyNumberFormat="1" applyFont="1" applyFill="1" applyBorder="1" applyAlignment="1">
      <alignment horizontal="left" vertical="center"/>
    </xf>
  </cellXfs>
  <cellStyles count="14">
    <cellStyle name="40 % - Accent6" xfId="11" builtinId="51"/>
    <cellStyle name="Accent1" xfId="8" builtinId="29"/>
    <cellStyle name="Accent3" xfId="9" builtinId="37"/>
    <cellStyle name="Accent6" xfId="10" builtinId="49"/>
    <cellStyle name="Calcul" xfId="7" builtinId="22"/>
    <cellStyle name="Lien hypertexte" xfId="12" builtinId="8"/>
    <cellStyle name="Milliers" xfId="1" builtinId="3"/>
    <cellStyle name="Monétaire" xfId="13" builtinId="4"/>
    <cellStyle name="Normal" xfId="0" builtinId="0"/>
    <cellStyle name="Sortie" xfId="6" builtinId="21"/>
    <cellStyle name="Titre 1" xfId="2" builtinId="16"/>
    <cellStyle name="Titre 2" xfId="3" builtinId="17"/>
    <cellStyle name="Titre 3" xfId="4" builtinId="18"/>
    <cellStyle name="Titre 4" xfId="5" builtinId="19"/>
  </cellStyles>
  <dxfs count="18">
    <dxf>
      <protection locked="1" hidden="0"/>
    </dxf>
    <dxf>
      <protection locked="1" hidden="0"/>
    </dxf>
    <dxf>
      <protection locked="1" hidden="0"/>
    </dxf>
    <dxf>
      <alignment horizontal="center" vertical="center" textRotation="0" wrapText="0" indent="0" relativeIndent="255" justifyLastLine="0" shrinkToFit="0" readingOrder="0"/>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font>
        <color rgb="FF00B050"/>
      </font>
      <fill>
        <patternFill>
          <bgColor theme="6" tint="0.59996337778862885"/>
        </patternFill>
      </fill>
    </dxf>
    <dxf>
      <font>
        <color rgb="FF00B050"/>
      </font>
      <fill>
        <patternFill>
          <bgColor theme="6" tint="0.59996337778862885"/>
        </patternFill>
      </fill>
    </dxf>
    <dxf>
      <font>
        <color rgb="FF00B050"/>
      </font>
      <fill>
        <patternFill>
          <bgColor theme="6" tint="0.59996337778862885"/>
        </patternFill>
      </fill>
    </dxf>
    <dxf>
      <font>
        <color rgb="FF00B050"/>
      </font>
      <fill>
        <patternFill>
          <bgColor theme="6" tint="0.59996337778862885"/>
        </patternFill>
      </fill>
    </dxf>
    <dxf>
      <font>
        <color rgb="FF00B050"/>
      </font>
      <fill>
        <patternFill>
          <bgColor theme="6" tint="0.59996337778862885"/>
        </patternFill>
      </fill>
    </dxf>
    <dxf>
      <font>
        <color rgb="FFFF0000"/>
      </font>
      <fill>
        <patternFill>
          <bgColor theme="5" tint="0.59996337778862885"/>
        </patternFill>
      </fill>
    </dxf>
  </dxfs>
  <tableStyles count="0" defaultTableStyle="TableStyleMedium2" defaultPivotStyle="PivotStyleLight16"/>
  <colors>
    <mruColors>
      <color rgb="FF00823B"/>
      <color rgb="FFFFFF99"/>
      <color rgb="FFFFFFA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hyperlink" Target="https://www.helloasso.com/associations/club-herblinois-escrime-che/adhesions/inscription-che-2024-2025" TargetMode="External"/><Relationship Id="rId1" Type="http://schemas.openxmlformats.org/officeDocument/2006/relationships/image" Target="../media/image4.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8</xdr:col>
      <xdr:colOff>25720</xdr:colOff>
      <xdr:row>17</xdr:row>
      <xdr:rowOff>169294</xdr:rowOff>
    </xdr:from>
    <xdr:to>
      <xdr:col>8</xdr:col>
      <xdr:colOff>187645</xdr:colOff>
      <xdr:row>18</xdr:row>
      <xdr:rowOff>155638</xdr:rowOff>
    </xdr:to>
    <xdr:pic>
      <xdr:nvPicPr>
        <xdr:cNvPr id="1028" name="Picture 4">
          <a:extLst>
            <a:ext uri="{FF2B5EF4-FFF2-40B4-BE49-F238E27FC236}">
              <a16:creationId xmlns:a16="http://schemas.microsoft.com/office/drawing/2014/main" xmlns="" id="{00000000-0008-0000-0000-000004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978845" y="3803833"/>
          <a:ext cx="161925" cy="161804"/>
        </a:xfrm>
        <a:prstGeom prst="rect">
          <a:avLst/>
        </a:prstGeom>
        <a:noFill/>
        <a:ln w="1">
          <a:noFill/>
          <a:miter lim="800000"/>
          <a:headEnd/>
          <a:tailEnd type="none" w="med" len="med"/>
        </a:ln>
        <a:effectLst/>
      </xdr:spPr>
    </xdr:pic>
    <xdr:clientData/>
  </xdr:twoCellAnchor>
  <xdr:twoCellAnchor editAs="oneCell">
    <xdr:from>
      <xdr:col>0</xdr:col>
      <xdr:colOff>62664</xdr:colOff>
      <xdr:row>0</xdr:row>
      <xdr:rowOff>137864</xdr:rowOff>
    </xdr:from>
    <xdr:to>
      <xdr:col>3</xdr:col>
      <xdr:colOff>31750</xdr:colOff>
      <xdr:row>9</xdr:row>
      <xdr:rowOff>75198</xdr:rowOff>
    </xdr:to>
    <xdr:pic>
      <xdr:nvPicPr>
        <xdr:cNvPr id="4" name="Image 3" descr="LOGO CHE 2024.jpg"/>
        <xdr:cNvPicPr>
          <a:picLocks noChangeAspect="1"/>
        </xdr:cNvPicPr>
      </xdr:nvPicPr>
      <xdr:blipFill>
        <a:blip xmlns:r="http://schemas.openxmlformats.org/officeDocument/2006/relationships" r:embed="rId2" cstate="print"/>
        <a:stretch>
          <a:fillRect/>
        </a:stretch>
      </xdr:blipFill>
      <xdr:spPr>
        <a:xfrm>
          <a:off x="62664" y="137864"/>
          <a:ext cx="1798889" cy="21556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266700</xdr:colOff>
      <xdr:row>35</xdr:row>
      <xdr:rowOff>28575</xdr:rowOff>
    </xdr:from>
    <xdr:to>
      <xdr:col>1</xdr:col>
      <xdr:colOff>600075</xdr:colOff>
      <xdr:row>36</xdr:row>
      <xdr:rowOff>131322</xdr:rowOff>
    </xdr:to>
    <xdr:pic>
      <xdr:nvPicPr>
        <xdr:cNvPr id="2" name="Image 1" descr="Panneau de signalisation de danger en France — Wikipédia">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609600" y="6486525"/>
          <a:ext cx="333375" cy="293247"/>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153904</xdr:colOff>
      <xdr:row>30</xdr:row>
      <xdr:rowOff>160923</xdr:rowOff>
    </xdr:from>
    <xdr:to>
      <xdr:col>1</xdr:col>
      <xdr:colOff>254969</xdr:colOff>
      <xdr:row>33</xdr:row>
      <xdr:rowOff>39604</xdr:rowOff>
    </xdr:to>
    <xdr:pic>
      <xdr:nvPicPr>
        <xdr:cNvPr id="2" name="Image 1" descr="Panneau de signalisation de danger en France — Wikipédia">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53904" y="6063916"/>
          <a:ext cx="439453" cy="39253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8</xdr:col>
      <xdr:colOff>92242</xdr:colOff>
      <xdr:row>30</xdr:row>
      <xdr:rowOff>138864</xdr:rowOff>
    </xdr:from>
    <xdr:to>
      <xdr:col>8</xdr:col>
      <xdr:colOff>536207</xdr:colOff>
      <xdr:row>33</xdr:row>
      <xdr:rowOff>17545</xdr:rowOff>
    </xdr:to>
    <xdr:pic>
      <xdr:nvPicPr>
        <xdr:cNvPr id="4" name="Image 3" descr="Panneau de signalisation de danger en France — Wikipédia">
          <a:extLst>
            <a:ext uri="{FF2B5EF4-FFF2-40B4-BE49-F238E27FC236}">
              <a16:creationId xmlns:a16="http://schemas.microsoft.com/office/drawing/2014/main" xmlns=""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8714874" y="6041857"/>
          <a:ext cx="443965" cy="39253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8</xdr:col>
      <xdr:colOff>138392</xdr:colOff>
      <xdr:row>4</xdr:row>
      <xdr:rowOff>77881</xdr:rowOff>
    </xdr:from>
    <xdr:to>
      <xdr:col>8</xdr:col>
      <xdr:colOff>583178</xdr:colOff>
      <xdr:row>6</xdr:row>
      <xdr:rowOff>144555</xdr:rowOff>
    </xdr:to>
    <xdr:pic>
      <xdr:nvPicPr>
        <xdr:cNvPr id="5" name="Image 4" descr="Panneau de signalisation de danger en France — Wikipédia">
          <a:extLst>
            <a:ext uri="{FF2B5EF4-FFF2-40B4-BE49-F238E27FC236}">
              <a16:creationId xmlns:a16="http://schemas.microsoft.com/office/drawing/2014/main" xmlns=""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8105774" y="996763"/>
          <a:ext cx="444786" cy="38043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7</xdr:col>
      <xdr:colOff>992981</xdr:colOff>
      <xdr:row>21</xdr:row>
      <xdr:rowOff>180975</xdr:rowOff>
    </xdr:from>
    <xdr:to>
      <xdr:col>10</xdr:col>
      <xdr:colOff>40481</xdr:colOff>
      <xdr:row>23</xdr:row>
      <xdr:rowOff>54449</xdr:rowOff>
    </xdr:to>
    <xdr:pic>
      <xdr:nvPicPr>
        <xdr:cNvPr id="7" name="Image 6" descr="helloasso.jpg">
          <a:hlinkClick xmlns:r="http://schemas.openxmlformats.org/officeDocument/2006/relationships" r:id="rId2"/>
        </xdr:cNvPr>
        <xdr:cNvPicPr>
          <a:picLocks noChangeAspect="1"/>
        </xdr:cNvPicPr>
      </xdr:nvPicPr>
      <xdr:blipFill>
        <a:blip xmlns:r="http://schemas.openxmlformats.org/officeDocument/2006/relationships" r:embed="rId3" cstate="print"/>
        <a:stretch>
          <a:fillRect/>
        </a:stretch>
      </xdr:blipFill>
      <xdr:spPr>
        <a:xfrm>
          <a:off x="8603456" y="4257675"/>
          <a:ext cx="1295400" cy="273524"/>
        </a:xfrm>
        <a:prstGeom prst="rect">
          <a:avLst/>
        </a:prstGeom>
      </xdr:spPr>
    </xdr:pic>
    <xdr:clientData/>
  </xdr:twoCellAnchor>
  <xdr:twoCellAnchor editAs="oneCell">
    <xdr:from>
      <xdr:col>1</xdr:col>
      <xdr:colOff>749300</xdr:colOff>
      <xdr:row>23</xdr:row>
      <xdr:rowOff>50800</xdr:rowOff>
    </xdr:from>
    <xdr:to>
      <xdr:col>3</xdr:col>
      <xdr:colOff>152400</xdr:colOff>
      <xdr:row>29</xdr:row>
      <xdr:rowOff>63500</xdr:rowOff>
    </xdr:to>
    <xdr:pic>
      <xdr:nvPicPr>
        <xdr:cNvPr id="8" name="Image 7" descr="qrcode.png"/>
        <xdr:cNvPicPr>
          <a:picLocks noChangeAspect="1"/>
        </xdr:cNvPicPr>
      </xdr:nvPicPr>
      <xdr:blipFill>
        <a:blip xmlns:r="http://schemas.openxmlformats.org/officeDocument/2006/relationships" r:embed="rId4" cstate="print"/>
        <a:stretch>
          <a:fillRect/>
        </a:stretch>
      </xdr:blipFill>
      <xdr:spPr>
        <a:xfrm>
          <a:off x="1092200" y="4572000"/>
          <a:ext cx="1257300" cy="1257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18172</xdr:colOff>
      <xdr:row>0</xdr:row>
      <xdr:rowOff>24976</xdr:rowOff>
    </xdr:from>
    <xdr:to>
      <xdr:col>4</xdr:col>
      <xdr:colOff>122465</xdr:colOff>
      <xdr:row>5</xdr:row>
      <xdr:rowOff>121008</xdr:rowOff>
    </xdr:to>
    <xdr:pic>
      <xdr:nvPicPr>
        <xdr:cNvPr id="3" name="Image 2" descr="LOGO CHE 2024.jpg"/>
        <xdr:cNvPicPr>
          <a:picLocks noChangeAspect="1"/>
        </xdr:cNvPicPr>
      </xdr:nvPicPr>
      <xdr:blipFill>
        <a:blip xmlns:r="http://schemas.openxmlformats.org/officeDocument/2006/relationships" r:embed="rId1" cstate="print"/>
        <a:stretch>
          <a:fillRect/>
        </a:stretch>
      </xdr:blipFill>
      <xdr:spPr>
        <a:xfrm>
          <a:off x="86208" y="24976"/>
          <a:ext cx="682596" cy="8376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114300</xdr:colOff>
      <xdr:row>0</xdr:row>
      <xdr:rowOff>47625</xdr:rowOff>
    </xdr:from>
    <xdr:to>
      <xdr:col>8</xdr:col>
      <xdr:colOff>31749</xdr:colOff>
      <xdr:row>9</xdr:row>
      <xdr:rowOff>117013</xdr:rowOff>
    </xdr:to>
    <xdr:pic>
      <xdr:nvPicPr>
        <xdr:cNvPr id="2" name="Picture 2">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177800" y="47625"/>
          <a:ext cx="1346199" cy="1572221"/>
        </a:xfrm>
        <a:prstGeom prst="rect">
          <a:avLst/>
        </a:prstGeom>
        <a:noFill/>
        <a:ln w="1">
          <a:noFill/>
          <a:miter lim="800000"/>
          <a:headEnd/>
          <a:tailEnd type="none" w="med" len="med"/>
        </a:ln>
        <a:effectLst/>
      </xdr:spPr>
    </xdr:pic>
    <xdr:clientData/>
  </xdr:twoCellAnchor>
</xdr:wsDr>
</file>

<file path=xl/tables/table1.xml><?xml version="1.0" encoding="utf-8"?>
<table xmlns="http://schemas.openxmlformats.org/spreadsheetml/2006/main" id="1" name="Tableau1" displayName="Tableau1" ref="B10:E34" totalsRowShown="0" headerRowDxfId="11" dataDxfId="10">
  <autoFilter ref="B10:E34">
    <filterColumn colId="1"/>
    <filterColumn colId="2"/>
  </autoFilter>
  <tableColumns count="4">
    <tableColumn id="1" name="Parametres" dataDxfId="9"/>
    <tableColumn id="4" name="Valeurs de base" dataDxfId="8"/>
    <tableColumn id="8" name="Valeurs majeur" dataDxfId="7"/>
    <tableColumn id="2" name="Valeurs mineur" dataDxfId="6"/>
  </tableColumns>
  <tableStyleInfo name="TableStyleLight9" showFirstColumn="0" showLastColumn="0" showRowStripes="1" showColumnStripes="0"/>
</table>
</file>

<file path=xl/tables/table2.xml><?xml version="1.0" encoding="utf-8"?>
<table xmlns="http://schemas.openxmlformats.org/spreadsheetml/2006/main" id="2" name="Table2" displayName="Table2" ref="B46:E64" totalsRowShown="0" headerRowDxfId="5" dataDxfId="4">
  <autoFilter ref="B46:E64"/>
  <tableColumns count="4">
    <tableColumn id="1" name="Version" dataDxfId="3"/>
    <tableColumn id="2" name="Date" dataDxfId="2"/>
    <tableColumn id="3" name="Auteur" dataDxfId="1"/>
    <tableColumn id="4" name="Modifications" dataDxfId="0"/>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stelle-joly@orange.fr" TargetMode="External"/><Relationship Id="rId1" Type="http://schemas.openxmlformats.org/officeDocument/2006/relationships/hyperlink" Target="mailto:estelle-joly@orange.fr"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club-herblinois-escrime.fr/tarifs.html" TargetMode="External"/><Relationship Id="rId2" Type="http://schemas.openxmlformats.org/officeDocument/2006/relationships/hyperlink" Target="http://www.escrime-ffe.fr/assurances/assurance-et-declaration-d-accident" TargetMode="External"/><Relationship Id="rId1" Type="http://schemas.openxmlformats.org/officeDocument/2006/relationships/hyperlink" Target="http://www.escrime-ffe.fr/assurances/assurance-et-declaration-d-accid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escrime-ffe.fr/fr/ffe/vie-du-club-et-des-comites/certificats-medicaux-et-surclassement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escrime-pdl.net/page/831702-aides-du-core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mailto:ch.escrime@orange.fr" TargetMode="External"/><Relationship Id="rId3" Type="http://schemas.openxmlformats.org/officeDocument/2006/relationships/hyperlink" Target="mailto:ch.escrime@orange.fr" TargetMode="External"/><Relationship Id="rId7" Type="http://schemas.openxmlformats.org/officeDocument/2006/relationships/hyperlink" Target="mailto:ch.escrime@orange.fr" TargetMode="External"/><Relationship Id="rId12" Type="http://schemas.openxmlformats.org/officeDocument/2006/relationships/table" Target="../tables/table2.xml"/><Relationship Id="rId2" Type="http://schemas.openxmlformats.org/officeDocument/2006/relationships/hyperlink" Target="mailto:ch.escrime@orange.fr" TargetMode="External"/><Relationship Id="rId1" Type="http://schemas.openxmlformats.org/officeDocument/2006/relationships/hyperlink" Target="mailto:ch.escrime@orange.fr" TargetMode="External"/><Relationship Id="rId6" Type="http://schemas.openxmlformats.org/officeDocument/2006/relationships/hyperlink" Target="mailto:ch.escrime@orange.fr" TargetMode="External"/><Relationship Id="rId11" Type="http://schemas.openxmlformats.org/officeDocument/2006/relationships/table" Target="../tables/table1.xml"/><Relationship Id="rId5" Type="http://schemas.openxmlformats.org/officeDocument/2006/relationships/hyperlink" Target="mailto:ch.escrime@orange.fr" TargetMode="External"/><Relationship Id="rId10" Type="http://schemas.openxmlformats.org/officeDocument/2006/relationships/printerSettings" Target="../printerSettings/printerSettings7.bin"/><Relationship Id="rId4" Type="http://schemas.openxmlformats.org/officeDocument/2006/relationships/hyperlink" Target="mailto:ch.escrime@orange.fr" TargetMode="External"/><Relationship Id="rId9" Type="http://schemas.openxmlformats.org/officeDocument/2006/relationships/hyperlink" Target="mailto:ch.escrime@orange.fr"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Feuil1">
    <tabColor theme="0"/>
    <pageSetUpPr fitToPage="1"/>
  </sheetPr>
  <dimension ref="A1:R53"/>
  <sheetViews>
    <sheetView tabSelected="1" zoomScale="76" zoomScaleNormal="76" workbookViewId="0">
      <selection activeCell="J23" sqref="J23"/>
    </sheetView>
  </sheetViews>
  <sheetFormatPr baseColWidth="10" defaultColWidth="11.5703125" defaultRowHeight="12.75"/>
  <cols>
    <col min="1" max="1" width="11.5703125" style="9"/>
    <col min="2" max="2" width="5.42578125" style="9" customWidth="1"/>
    <col min="3" max="3" width="10.42578125" style="9" customWidth="1"/>
    <col min="4" max="4" width="15.28515625" style="9" customWidth="1"/>
    <col min="5" max="5" width="10.5703125" style="9" customWidth="1"/>
    <col min="6" max="6" width="10.85546875" style="9" customWidth="1"/>
    <col min="7" max="7" width="11.7109375" style="9" customWidth="1"/>
    <col min="8" max="8" width="11.5703125" style="9"/>
    <col min="9" max="9" width="21" style="9" customWidth="1"/>
    <col min="10" max="10" width="15.7109375" style="9" customWidth="1"/>
    <col min="11" max="11" width="13.5703125" style="9" customWidth="1"/>
    <col min="12" max="12" width="14" style="9" customWidth="1"/>
    <col min="13" max="14" width="11.5703125" style="9"/>
    <col min="15" max="15" width="14.140625" style="9" customWidth="1"/>
    <col min="16" max="16" width="4" style="9" customWidth="1"/>
    <col min="17" max="17" width="12.5703125" style="9" hidden="1" customWidth="1"/>
    <col min="18" max="18" width="6.42578125" style="9" hidden="1" customWidth="1"/>
    <col min="19" max="16384" width="11.5703125" style="9"/>
  </cols>
  <sheetData>
    <row r="1" spans="1:16">
      <c r="A1" s="8"/>
      <c r="B1" s="8"/>
      <c r="C1" s="8"/>
      <c r="D1" s="8"/>
      <c r="E1" s="8"/>
      <c r="F1" s="8"/>
      <c r="G1" s="8"/>
      <c r="H1" s="8"/>
      <c r="I1" s="8"/>
      <c r="J1" s="8"/>
      <c r="K1" s="8"/>
      <c r="L1" s="8"/>
      <c r="M1" s="8"/>
      <c r="N1" s="8"/>
      <c r="O1" s="8"/>
      <c r="P1" s="8"/>
    </row>
    <row r="2" spans="1:16" ht="46.5">
      <c r="A2" s="8"/>
      <c r="B2" s="8"/>
      <c r="C2" s="8"/>
      <c r="D2" s="8"/>
      <c r="E2" s="306" t="s">
        <v>0</v>
      </c>
      <c r="F2" s="306"/>
      <c r="G2" s="306"/>
      <c r="H2" s="306"/>
      <c r="I2" s="306"/>
      <c r="J2" s="306"/>
      <c r="K2" s="8"/>
      <c r="L2" s="8"/>
      <c r="M2" s="39" t="s">
        <v>1</v>
      </c>
      <c r="N2" s="40" t="str">
        <f>VLOOKUP("Année",Paramètres,2,FALSE)</f>
        <v>2024/2025</v>
      </c>
      <c r="O2" s="8"/>
      <c r="P2" s="8"/>
    </row>
    <row r="3" spans="1:16">
      <c r="A3" s="8"/>
      <c r="B3" s="8"/>
      <c r="C3" s="8"/>
      <c r="D3" s="8"/>
      <c r="E3" s="8"/>
      <c r="F3" s="8"/>
      <c r="G3" s="8"/>
      <c r="H3" s="8"/>
      <c r="I3" s="8"/>
      <c r="J3" s="8"/>
      <c r="K3" s="8"/>
      <c r="L3" s="8"/>
      <c r="M3" s="8"/>
      <c r="N3" s="8"/>
      <c r="O3" s="8"/>
      <c r="P3" s="8"/>
    </row>
    <row r="4" spans="1:16" ht="16.5" customHeight="1">
      <c r="A4" s="8"/>
      <c r="B4" s="8"/>
      <c r="C4" s="8"/>
      <c r="D4" s="38"/>
      <c r="E4" s="8"/>
      <c r="F4" s="8"/>
      <c r="G4" s="8"/>
      <c r="H4" s="8"/>
      <c r="I4" s="8"/>
      <c r="J4" s="8"/>
      <c r="K4" s="8"/>
      <c r="L4" s="20" t="s">
        <v>2</v>
      </c>
      <c r="M4" s="100" t="s">
        <v>3</v>
      </c>
      <c r="N4" s="63"/>
      <c r="O4" s="64"/>
      <c r="P4" s="8"/>
    </row>
    <row r="5" spans="1:16" ht="16.5" customHeight="1">
      <c r="A5" s="8"/>
      <c r="B5" s="8"/>
      <c r="C5" s="8"/>
      <c r="D5" s="38"/>
      <c r="E5" s="8"/>
      <c r="F5" s="8"/>
      <c r="G5" s="8"/>
      <c r="H5" s="8"/>
      <c r="I5" s="8"/>
      <c r="J5" s="8"/>
      <c r="K5" s="8"/>
      <c r="L5" s="8"/>
      <c r="M5" s="8"/>
      <c r="N5" s="8"/>
      <c r="O5" s="8"/>
      <c r="P5" s="8"/>
    </row>
    <row r="6" spans="1:16" ht="16.5" customHeight="1">
      <c r="A6" s="8"/>
      <c r="B6" s="8"/>
      <c r="C6" s="8"/>
      <c r="D6" s="65" t="s">
        <v>318</v>
      </c>
      <c r="E6" s="8"/>
      <c r="F6" s="8"/>
      <c r="G6" s="8"/>
      <c r="H6" s="8"/>
      <c r="I6" s="8"/>
      <c r="J6" s="8"/>
      <c r="K6" s="8"/>
      <c r="L6" s="8"/>
      <c r="M6" s="8"/>
      <c r="N6" s="8"/>
      <c r="O6" s="8"/>
      <c r="P6" s="8"/>
    </row>
    <row r="7" spans="1:16" ht="16.5" customHeight="1">
      <c r="A7" s="8"/>
      <c r="B7" s="8"/>
      <c r="C7" s="8"/>
      <c r="D7" s="65" t="s">
        <v>315</v>
      </c>
      <c r="E7" s="8"/>
      <c r="F7" s="8"/>
      <c r="G7" s="8"/>
      <c r="H7" s="8"/>
      <c r="I7" s="8"/>
      <c r="J7" s="8"/>
      <c r="K7" s="8"/>
      <c r="L7" s="8"/>
      <c r="M7" s="8"/>
      <c r="N7" s="8"/>
      <c r="O7" s="8"/>
      <c r="P7" s="8"/>
    </row>
    <row r="8" spans="1:16" ht="18">
      <c r="A8" s="8"/>
      <c r="B8" s="8"/>
      <c r="C8" s="8"/>
      <c r="D8" s="65" t="s">
        <v>316</v>
      </c>
      <c r="E8" s="8"/>
      <c r="F8" s="39"/>
      <c r="G8" s="40"/>
      <c r="H8" s="8"/>
      <c r="I8" s="8"/>
      <c r="J8" s="8"/>
      <c r="K8" s="8"/>
      <c r="L8" s="8"/>
      <c r="M8" s="8"/>
      <c r="N8" s="8"/>
      <c r="O8" s="8"/>
      <c r="P8" s="8"/>
    </row>
    <row r="9" spans="1:16" ht="18" customHeight="1">
      <c r="A9" s="8"/>
      <c r="B9" s="20"/>
      <c r="C9" s="20"/>
      <c r="D9" s="65" t="s">
        <v>243</v>
      </c>
      <c r="E9" s="20"/>
      <c r="F9" s="42"/>
      <c r="G9" s="42"/>
      <c r="H9" s="42"/>
      <c r="I9" s="42"/>
      <c r="J9" s="13"/>
      <c r="K9" s="8"/>
      <c r="L9" s="8"/>
      <c r="M9" s="8"/>
      <c r="N9" s="8"/>
      <c r="O9" s="8"/>
      <c r="P9" s="8"/>
    </row>
    <row r="10" spans="1:16" ht="29.25" customHeight="1" thickBot="1">
      <c r="A10" s="41" t="s">
        <v>4</v>
      </c>
      <c r="B10" s="41"/>
      <c r="C10" s="41"/>
      <c r="D10" s="8"/>
      <c r="E10" s="8"/>
      <c r="F10" s="8"/>
      <c r="G10" s="8"/>
      <c r="H10" s="8"/>
      <c r="I10" s="8"/>
      <c r="J10" s="8"/>
      <c r="K10" s="8"/>
      <c r="L10" s="8"/>
      <c r="M10" s="8"/>
      <c r="N10" s="8"/>
      <c r="O10" s="8"/>
      <c r="P10" s="8"/>
    </row>
    <row r="11" spans="1:16" ht="13.5" thickTop="1">
      <c r="A11" s="8"/>
      <c r="B11" s="8"/>
      <c r="C11" s="8"/>
      <c r="D11" s="8"/>
      <c r="E11" s="8"/>
      <c r="F11" s="8"/>
      <c r="G11" s="8"/>
      <c r="H11" s="8"/>
      <c r="I11" s="8"/>
      <c r="J11" s="8"/>
      <c r="K11" s="8"/>
      <c r="L11" s="8"/>
      <c r="M11" s="8"/>
      <c r="N11" s="8"/>
      <c r="O11" s="8"/>
      <c r="P11" s="8"/>
    </row>
    <row r="12" spans="1:16" ht="14.25">
      <c r="A12" s="8"/>
      <c r="B12" s="20" t="s">
        <v>5</v>
      </c>
      <c r="C12" s="42"/>
      <c r="D12" s="20"/>
      <c r="E12" s="20"/>
      <c r="F12" s="20"/>
      <c r="G12" s="20"/>
      <c r="H12" s="20"/>
      <c r="I12" s="20"/>
      <c r="J12" s="8"/>
      <c r="K12" s="8"/>
      <c r="L12" s="8"/>
      <c r="M12" s="8"/>
      <c r="N12" s="8"/>
      <c r="O12" s="8"/>
      <c r="P12" s="8"/>
    </row>
    <row r="13" spans="1:16" ht="14.25">
      <c r="A13" s="8"/>
      <c r="B13" s="8"/>
      <c r="C13" s="42"/>
      <c r="D13" s="20"/>
      <c r="E13" s="20"/>
      <c r="F13" s="20"/>
      <c r="G13" s="20"/>
      <c r="H13" s="20"/>
      <c r="I13" s="20"/>
      <c r="J13" s="8"/>
      <c r="K13" s="8"/>
      <c r="L13" s="8"/>
      <c r="M13" s="8"/>
      <c r="N13" s="8"/>
      <c r="O13" s="8"/>
      <c r="P13" s="8"/>
    </row>
    <row r="14" spans="1:16" ht="14.25">
      <c r="A14" s="8"/>
      <c r="B14" s="307" t="s">
        <v>6</v>
      </c>
      <c r="C14" s="307"/>
      <c r="D14" s="307"/>
      <c r="E14" s="20"/>
      <c r="F14" s="20"/>
      <c r="G14" s="20"/>
      <c r="H14" s="20"/>
      <c r="I14" s="20"/>
      <c r="J14" s="8"/>
      <c r="K14" s="8"/>
      <c r="L14" s="8"/>
      <c r="M14" s="8"/>
      <c r="N14" s="8"/>
      <c r="O14" s="8"/>
      <c r="P14" s="8"/>
    </row>
    <row r="15" spans="1:16" ht="14.25">
      <c r="A15" s="8"/>
      <c r="B15" s="59"/>
      <c r="C15" s="214" t="s">
        <v>7</v>
      </c>
      <c r="D15" s="216"/>
      <c r="E15" s="20"/>
      <c r="F15" s="20"/>
      <c r="G15" s="20"/>
      <c r="H15" s="20"/>
      <c r="I15" s="20"/>
      <c r="J15" s="8"/>
      <c r="K15" s="8"/>
      <c r="L15" s="8"/>
      <c r="M15" s="8"/>
      <c r="N15" s="8"/>
      <c r="O15" s="8"/>
      <c r="P15" s="8"/>
    </row>
    <row r="16" spans="1:16" ht="15" thickBot="1">
      <c r="A16" s="8"/>
      <c r="B16" s="59"/>
      <c r="C16" s="42" t="s">
        <v>8</v>
      </c>
      <c r="D16" s="216"/>
      <c r="E16" s="20"/>
      <c r="F16" s="20"/>
      <c r="G16" s="20"/>
      <c r="H16" s="20"/>
      <c r="I16" s="20"/>
      <c r="J16" s="8"/>
      <c r="K16" s="8"/>
      <c r="L16" s="8"/>
      <c r="M16" s="8"/>
      <c r="N16" s="8"/>
      <c r="O16" s="8"/>
      <c r="P16" s="8"/>
    </row>
    <row r="17" spans="1:17" ht="15" thickBot="1">
      <c r="A17" s="8"/>
      <c r="B17" s="59"/>
      <c r="C17" s="20" t="s">
        <v>9</v>
      </c>
      <c r="D17" s="20"/>
      <c r="E17" s="20"/>
      <c r="F17" s="20"/>
      <c r="G17" s="20"/>
      <c r="H17" s="20"/>
      <c r="I17" s="20"/>
      <c r="J17" s="8"/>
      <c r="K17" s="290" t="s">
        <v>10</v>
      </c>
      <c r="L17" s="291"/>
      <c r="M17" s="8"/>
      <c r="N17" s="292" t="s">
        <v>11</v>
      </c>
      <c r="O17" s="293"/>
      <c r="P17" s="8"/>
    </row>
    <row r="18" spans="1:17" ht="14.25">
      <c r="A18" s="8"/>
      <c r="B18" s="50"/>
      <c r="C18" s="20"/>
      <c r="D18" s="42"/>
      <c r="E18" s="20"/>
      <c r="F18" s="42"/>
      <c r="G18" s="42"/>
      <c r="H18" s="42"/>
      <c r="I18" s="42"/>
      <c r="J18" s="13"/>
      <c r="K18" s="8"/>
      <c r="L18" s="8"/>
      <c r="M18" s="8"/>
      <c r="N18" s="8"/>
      <c r="O18" s="8"/>
      <c r="P18" s="8"/>
    </row>
    <row r="19" spans="1:17" ht="14.25">
      <c r="A19" s="8"/>
      <c r="B19" s="50"/>
      <c r="C19" s="20" t="s">
        <v>12</v>
      </c>
      <c r="D19" s="42"/>
      <c r="E19" s="20"/>
      <c r="F19" s="42"/>
      <c r="G19" s="42"/>
      <c r="H19" s="42"/>
      <c r="I19" s="42"/>
      <c r="J19" s="13"/>
      <c r="K19" s="8"/>
      <c r="L19" s="8"/>
      <c r="M19" s="8"/>
      <c r="N19" s="8"/>
      <c r="O19" s="8"/>
      <c r="P19" s="8"/>
    </row>
    <row r="20" spans="1:17" ht="14.25">
      <c r="A20" s="8"/>
      <c r="B20" s="20"/>
      <c r="C20" s="20"/>
      <c r="D20" s="42"/>
      <c r="E20" s="20"/>
      <c r="F20" s="42"/>
      <c r="G20" s="42"/>
      <c r="H20" s="42"/>
      <c r="I20" s="42"/>
      <c r="J20" s="13"/>
      <c r="K20" s="8"/>
      <c r="L20" s="8"/>
      <c r="M20" s="8"/>
      <c r="N20" s="8"/>
      <c r="O20" s="8"/>
      <c r="P20" s="8"/>
    </row>
    <row r="21" spans="1:17" ht="18" thickBot="1">
      <c r="A21" s="41" t="s">
        <v>13</v>
      </c>
      <c r="B21" s="41"/>
      <c r="C21" s="41"/>
      <c r="D21" s="8"/>
      <c r="E21" s="8"/>
      <c r="F21" s="13"/>
      <c r="G21" s="13"/>
      <c r="H21" s="13"/>
      <c r="I21" s="13"/>
      <c r="J21" s="13"/>
      <c r="K21" s="8"/>
      <c r="L21" s="8"/>
      <c r="M21" s="302" t="s">
        <v>14</v>
      </c>
      <c r="N21" s="303"/>
      <c r="O21" s="8"/>
      <c r="P21" s="8"/>
      <c r="Q21" s="9">
        <f ca="1">SUM(Q23:Q31)</f>
        <v>5</v>
      </c>
    </row>
    <row r="22" spans="1:17" ht="14.25" thickTop="1" thickBot="1">
      <c r="A22" s="8"/>
      <c r="B22" s="8"/>
      <c r="C22" s="8"/>
      <c r="D22" s="8"/>
      <c r="E22" s="8"/>
      <c r="F22" s="13"/>
      <c r="G22" s="13"/>
      <c r="H22" s="13"/>
      <c r="I22" s="13"/>
      <c r="J22" s="13"/>
      <c r="K22" s="8"/>
      <c r="L22" s="8"/>
      <c r="M22" s="294"/>
      <c r="N22" s="295"/>
      <c r="O22" s="8"/>
      <c r="P22" s="8"/>
    </row>
    <row r="23" spans="1:17" ht="15.75" thickBot="1">
      <c r="A23" s="8"/>
      <c r="B23" s="23" t="s">
        <v>15</v>
      </c>
      <c r="C23" s="8"/>
      <c r="D23" s="8"/>
      <c r="E23" s="43" t="str">
        <f>"Etiez-vous déjà adhérent du CHE en "&amp;VLOOKUP("Année passée",Admin!$B$10:$E$33,2) &amp;" ?"</f>
        <v>Etiez-vous déjà adhérent du CHE en 2023/2024 ?</v>
      </c>
      <c r="H23" s="44"/>
      <c r="I23" s="44"/>
      <c r="J23" s="51"/>
      <c r="K23" s="9" t="str">
        <f>IF(J23="Oui","Renouvellement",IF(J23="Non","Nouvelle licence",""))</f>
        <v/>
      </c>
      <c r="M23" s="296" t="str">
        <f>IF(ISBLANK(J23),"A compléter","Complété")</f>
        <v>A compléter</v>
      </c>
      <c r="N23" s="297"/>
      <c r="O23" s="8"/>
      <c r="P23" s="8"/>
      <c r="Q23" s="9">
        <f>IF(M23="Complété",0,1)</f>
        <v>1</v>
      </c>
    </row>
    <row r="24" spans="1:17">
      <c r="A24" s="8"/>
      <c r="B24" s="8"/>
      <c r="C24" s="8"/>
      <c r="D24" s="8"/>
      <c r="E24" s="8"/>
      <c r="F24" s="8"/>
      <c r="G24" s="8"/>
      <c r="H24" s="8"/>
      <c r="I24" s="8"/>
      <c r="J24" s="13"/>
      <c r="K24" s="8"/>
      <c r="L24" s="8"/>
      <c r="M24" s="66"/>
      <c r="N24" s="67"/>
      <c r="O24" s="8"/>
      <c r="P24" s="8"/>
    </row>
    <row r="25" spans="1:17" ht="15">
      <c r="A25" s="8"/>
      <c r="B25" s="23" t="s">
        <v>16</v>
      </c>
      <c r="C25" s="20"/>
      <c r="D25" s="20"/>
      <c r="E25" s="20"/>
      <c r="F25" s="309" t="s">
        <v>17</v>
      </c>
      <c r="G25" s="309"/>
      <c r="H25" s="62"/>
      <c r="I25" s="62"/>
      <c r="J25" s="62"/>
      <c r="K25" s="62"/>
      <c r="L25" s="62"/>
      <c r="M25" s="296" t="str">
        <f ca="1">Coordonnées!$B$60</f>
        <v>A compléter</v>
      </c>
      <c r="N25" s="297"/>
      <c r="O25" s="8"/>
      <c r="P25" s="8"/>
      <c r="Q25" s="9">
        <f ca="1">IF(M25="Complété",0,1)</f>
        <v>1</v>
      </c>
    </row>
    <row r="26" spans="1:17" ht="14.25">
      <c r="A26" s="8"/>
      <c r="B26" s="20"/>
      <c r="C26" s="20"/>
      <c r="D26" s="20"/>
      <c r="E26" s="20"/>
      <c r="F26" s="20"/>
      <c r="G26" s="20"/>
      <c r="H26" s="20"/>
      <c r="I26" s="20"/>
      <c r="J26" s="20"/>
      <c r="K26" s="20"/>
      <c r="L26" s="20"/>
      <c r="M26" s="211"/>
      <c r="N26" s="212"/>
      <c r="O26" s="8"/>
      <c r="P26" s="8"/>
    </row>
    <row r="27" spans="1:17" ht="14.25">
      <c r="A27" s="8"/>
      <c r="B27" s="20"/>
      <c r="C27" s="20"/>
      <c r="D27" s="20"/>
      <c r="E27" s="20"/>
      <c r="F27" s="213" t="s">
        <v>18</v>
      </c>
      <c r="G27" s="213"/>
      <c r="H27" s="213"/>
      <c r="I27" s="213"/>
      <c r="J27" s="213"/>
      <c r="K27" s="213"/>
      <c r="L27" s="213"/>
      <c r="M27" s="296" t="str">
        <f>Assurance!$B$64</f>
        <v>A compléter</v>
      </c>
      <c r="N27" s="297"/>
      <c r="O27" s="8"/>
      <c r="P27" s="8"/>
      <c r="Q27" s="9">
        <f>IF(M27="Complété",0,1)</f>
        <v>1</v>
      </c>
    </row>
    <row r="28" spans="1:17" ht="14.25">
      <c r="A28" s="8"/>
      <c r="B28" s="20"/>
      <c r="C28" s="20"/>
      <c r="D28" s="20"/>
      <c r="E28" s="20"/>
      <c r="F28" s="20"/>
      <c r="G28" s="20"/>
      <c r="H28" s="20"/>
      <c r="I28" s="20"/>
      <c r="J28" s="20"/>
      <c r="K28" s="20"/>
      <c r="L28" s="20"/>
      <c r="M28" s="211"/>
      <c r="N28" s="212"/>
      <c r="O28" s="8"/>
      <c r="P28" s="8"/>
    </row>
    <row r="29" spans="1:17" ht="14.25">
      <c r="A29" s="8"/>
      <c r="B29" s="20"/>
      <c r="C29" s="20"/>
      <c r="D29" s="20"/>
      <c r="E29" s="20"/>
      <c r="F29" s="310" t="s">
        <v>19</v>
      </c>
      <c r="G29" s="310"/>
      <c r="H29" s="310"/>
      <c r="I29" s="213"/>
      <c r="J29" s="213"/>
      <c r="K29" s="213"/>
      <c r="L29" s="213"/>
      <c r="M29" s="298" t="str">
        <f>Cotisation!$B$53</f>
        <v>A compléter</v>
      </c>
      <c r="N29" s="299"/>
      <c r="O29" s="8"/>
      <c r="P29" s="8"/>
      <c r="Q29" s="9">
        <f>IF(M29="Complété",0,1)</f>
        <v>1</v>
      </c>
    </row>
    <row r="30" spans="1:17" ht="14.25">
      <c r="A30" s="8"/>
      <c r="B30" s="20"/>
      <c r="C30" s="20"/>
      <c r="D30" s="20"/>
      <c r="E30" s="20"/>
      <c r="F30" s="20"/>
      <c r="G30" s="20"/>
      <c r="H30" s="20"/>
      <c r="I30" s="20"/>
      <c r="J30" s="20"/>
      <c r="K30" s="20"/>
      <c r="L30" s="20"/>
      <c r="M30" s="211"/>
      <c r="N30" s="212"/>
      <c r="O30" s="8"/>
      <c r="P30" s="8"/>
    </row>
    <row r="31" spans="1:17" ht="14.25">
      <c r="A31" s="8"/>
      <c r="B31" s="20"/>
      <c r="C31" s="20"/>
      <c r="D31" s="20"/>
      <c r="E31" s="20"/>
      <c r="F31" s="310" t="s">
        <v>20</v>
      </c>
      <c r="G31" s="310"/>
      <c r="H31" s="310"/>
      <c r="I31" s="68"/>
      <c r="J31" s="68"/>
      <c r="K31" s="68"/>
      <c r="L31" s="68"/>
      <c r="M31" s="300" t="str">
        <f>Autorisations!$B$20</f>
        <v>A compléter</v>
      </c>
      <c r="N31" s="301"/>
      <c r="O31" s="8"/>
      <c r="P31" s="8"/>
      <c r="Q31" s="9">
        <f>IF(M31="Complété",0,1)</f>
        <v>1</v>
      </c>
    </row>
    <row r="32" spans="1:17" ht="14.25">
      <c r="A32" s="8"/>
      <c r="B32" s="20"/>
      <c r="C32" s="20"/>
      <c r="D32" s="20"/>
      <c r="E32" s="20"/>
      <c r="F32" s="20"/>
      <c r="G32" s="20"/>
      <c r="H32" s="20"/>
      <c r="I32" s="20"/>
      <c r="J32" s="8"/>
      <c r="K32" s="8"/>
      <c r="L32" s="8"/>
      <c r="M32" s="8"/>
      <c r="N32" s="8"/>
      <c r="O32" s="8"/>
      <c r="P32" s="8"/>
    </row>
    <row r="33" spans="1:18" ht="15">
      <c r="A33" s="8"/>
      <c r="B33" s="23" t="s">
        <v>21</v>
      </c>
      <c r="C33" s="20"/>
      <c r="D33" s="20"/>
      <c r="E33" s="20"/>
      <c r="F33" s="20"/>
      <c r="G33" s="20"/>
      <c r="H33" s="20"/>
      <c r="I33" s="304" t="s">
        <v>3</v>
      </c>
      <c r="J33" s="305"/>
      <c r="K33" s="305"/>
      <c r="L33" s="8"/>
      <c r="M33" s="8"/>
      <c r="N33" s="8"/>
      <c r="O33" s="8"/>
      <c r="P33" s="8"/>
    </row>
    <row r="34" spans="1:18" ht="14.25">
      <c r="A34" s="8"/>
      <c r="B34" s="20"/>
      <c r="C34" s="20"/>
      <c r="D34" s="20"/>
      <c r="E34" s="20"/>
      <c r="F34" s="20"/>
      <c r="G34" s="20"/>
      <c r="H34" s="20"/>
      <c r="I34" s="20"/>
      <c r="J34" s="8"/>
      <c r="K34" s="8"/>
      <c r="L34" s="8"/>
      <c r="M34" s="8"/>
      <c r="N34" s="8"/>
      <c r="O34" s="8"/>
      <c r="P34" s="8"/>
    </row>
    <row r="35" spans="1:18" ht="15">
      <c r="A35" s="8"/>
      <c r="B35" s="23" t="s">
        <v>22</v>
      </c>
      <c r="C35" s="45"/>
      <c r="D35" s="45"/>
      <c r="E35" s="45"/>
      <c r="F35" s="45"/>
      <c r="G35" s="308" t="s">
        <v>23</v>
      </c>
      <c r="H35" s="308"/>
      <c r="I35" s="308"/>
      <c r="J35" s="8"/>
      <c r="K35" s="8"/>
      <c r="L35" s="8"/>
      <c r="M35" s="8"/>
      <c r="N35" s="8"/>
      <c r="O35" s="8"/>
      <c r="P35" s="8"/>
    </row>
    <row r="36" spans="1:18" ht="14.25">
      <c r="A36" s="8"/>
      <c r="B36" s="20"/>
      <c r="C36" s="82" t="s">
        <v>24</v>
      </c>
      <c r="D36" s="20"/>
      <c r="E36" s="20"/>
      <c r="F36" s="20"/>
      <c r="G36" s="20"/>
      <c r="H36" s="20"/>
      <c r="I36" s="20"/>
      <c r="J36" s="8"/>
      <c r="K36" s="8"/>
      <c r="L36" s="8"/>
      <c r="M36" s="8"/>
      <c r="N36" s="8"/>
      <c r="O36" s="8"/>
      <c r="P36" s="8"/>
    </row>
    <row r="37" spans="1:18" ht="14.25">
      <c r="A37" s="8"/>
      <c r="B37" s="20"/>
      <c r="C37" s="20"/>
      <c r="D37" s="20"/>
      <c r="E37" s="20"/>
      <c r="F37" s="20"/>
      <c r="G37" s="20"/>
      <c r="H37" s="20"/>
      <c r="I37" s="20"/>
      <c r="J37" s="8"/>
      <c r="K37" s="8"/>
      <c r="L37" s="8"/>
      <c r="M37" s="8"/>
      <c r="N37" s="8"/>
      <c r="O37" s="8"/>
      <c r="P37" s="8"/>
    </row>
    <row r="38" spans="1:18" ht="15">
      <c r="A38" s="8"/>
      <c r="B38" s="46" t="s">
        <v>247</v>
      </c>
      <c r="C38" s="20"/>
      <c r="D38" s="20"/>
      <c r="E38" s="20"/>
      <c r="F38" s="20"/>
      <c r="G38" s="20"/>
      <c r="H38" s="20"/>
      <c r="I38" s="20"/>
      <c r="J38" s="8"/>
      <c r="K38" s="8"/>
      <c r="L38" s="8"/>
      <c r="M38" s="8"/>
      <c r="N38" s="8"/>
      <c r="O38" s="8"/>
      <c r="P38" s="8"/>
    </row>
    <row r="39" spans="1:18" ht="14.25" customHeight="1">
      <c r="A39" s="8"/>
      <c r="B39" s="47"/>
      <c r="C39" s="20"/>
      <c r="D39" s="20"/>
      <c r="E39" s="20"/>
      <c r="F39" s="20"/>
      <c r="G39" s="20"/>
      <c r="H39" s="20"/>
      <c r="I39" s="20"/>
      <c r="J39" s="8"/>
      <c r="K39" s="8"/>
      <c r="L39" s="8"/>
      <c r="M39" s="8"/>
      <c r="N39" s="8"/>
      <c r="O39" s="8"/>
      <c r="P39" s="8"/>
    </row>
    <row r="40" spans="1:18" ht="15">
      <c r="A40" s="8"/>
      <c r="B40" s="71" t="str">
        <f ca="1">IF(OR(J23="NON",Coordonnées!N47&gt;64),"1",0)</f>
        <v>1</v>
      </c>
      <c r="C40" s="20" t="s">
        <v>321</v>
      </c>
      <c r="D40" s="20"/>
      <c r="E40" s="20"/>
      <c r="F40" s="20" t="str">
        <f ca="1">"juillet "&amp;VLOOKUP("Année",Paramètres,3,FALSE)</f>
        <v>juillet 2024</v>
      </c>
      <c r="G40" s="20" t="s">
        <v>328</v>
      </c>
      <c r="H40" s="20"/>
      <c r="I40" s="20"/>
      <c r="J40" s="8"/>
      <c r="K40" s="8"/>
      <c r="L40" s="8"/>
      <c r="M40" s="8"/>
      <c r="N40" s="8"/>
      <c r="O40" s="8"/>
      <c r="P40" s="8"/>
    </row>
    <row r="41" spans="1:18" ht="15">
      <c r="A41" s="8"/>
      <c r="B41" s="71">
        <f t="shared" ref="B41:B43" ca="1" si="0">IF(J41=0,0,1)</f>
        <v>0</v>
      </c>
      <c r="C41" s="23" t="str">
        <f>IF($R$41="chèque","chèque","virement")</f>
        <v>chèque</v>
      </c>
      <c r="D41" s="20" t="s">
        <v>312</v>
      </c>
      <c r="E41" s="20"/>
      <c r="F41" s="20"/>
      <c r="G41" s="20"/>
      <c r="H41" s="20"/>
      <c r="I41" s="20"/>
      <c r="J41" s="72">
        <f ca="1">IF($Q$21=0,IF(OR(Cotisation!$E$16="3 chèques",Cotisation!$E$16="helloasso (3 virements)"),VLOOKUP(Cotisation!$D$14,Cotisation!$B$10:$H$12,5,FALSE)+Assurance!$J$25,IF(OR(Cotisation!$E$16="chèque unique",Cotisation!$E$16="virement bancaire unique",Cotisation!$E$16="helloasso (virement unique)"),VLOOKUP(Cotisation!$D$14,Cotisation!$B$10:$H$12,4,FALSE)+Assurance!$J$25,0)),0)</f>
        <v>0</v>
      </c>
      <c r="K41" s="8"/>
      <c r="L41" s="8"/>
      <c r="M41" s="8"/>
      <c r="N41" s="8"/>
      <c r="O41" s="8"/>
      <c r="P41" s="8"/>
      <c r="R41" s="9" t="str">
        <f>IF(OR(Cotisation!$E$16="virement bancaire unique",Cotisation!$E$16="helloasso (virement unique)",Cotisation!$E$16="helloasso (3 virements)"),"virement","chèque")</f>
        <v>chèque</v>
      </c>
    </row>
    <row r="42" spans="1:18" ht="15">
      <c r="A42" s="8"/>
      <c r="B42" s="71">
        <f t="shared" ca="1" si="0"/>
        <v>0</v>
      </c>
      <c r="C42" s="23" t="str">
        <f t="shared" ref="C42:C44" si="1">IF($R$41="chèque","chèque","virement")</f>
        <v>chèque</v>
      </c>
      <c r="D42" s="20" t="s">
        <v>313</v>
      </c>
      <c r="E42" s="20"/>
      <c r="F42" s="20"/>
      <c r="G42" s="20"/>
      <c r="H42" s="20"/>
      <c r="I42" s="20"/>
      <c r="J42" s="72">
        <f ca="1">IF($Q$21=0,IF(OR(Cotisation!$E$16="3 chèques",Cotisation!$E$16="helloasso (3 virements)"),VLOOKUP(Cotisation!$D$14,Cotisation!$B$10:$H$12,6,FALSE),0),0)</f>
        <v>0</v>
      </c>
      <c r="K42" s="8"/>
      <c r="L42" s="8"/>
      <c r="M42" s="8"/>
      <c r="N42" s="8"/>
      <c r="O42" s="8"/>
      <c r="P42" s="8"/>
    </row>
    <row r="43" spans="1:18" ht="15">
      <c r="A43" s="8"/>
      <c r="B43" s="71">
        <f t="shared" ca="1" si="0"/>
        <v>0</v>
      </c>
      <c r="C43" s="23" t="str">
        <f t="shared" si="1"/>
        <v>chèque</v>
      </c>
      <c r="D43" s="20" t="s">
        <v>314</v>
      </c>
      <c r="E43" s="20"/>
      <c r="F43" s="20"/>
      <c r="G43" s="20"/>
      <c r="H43" s="20"/>
      <c r="I43" s="20"/>
      <c r="J43" s="72">
        <f ca="1">IF($Q$21=0,IF(OR(Cotisation!$E$16="3 chèques",Cotisation!$E$16="helloasso (3 virements)"),VLOOKUP(Cotisation!$D$14,Cotisation!$B$10:$H$12,7,FALSE),0),0)</f>
        <v>0</v>
      </c>
      <c r="K43" s="8"/>
      <c r="L43" s="8"/>
      <c r="M43" s="8"/>
      <c r="N43" s="8"/>
      <c r="O43" s="8"/>
      <c r="P43" s="8"/>
    </row>
    <row r="44" spans="1:18" ht="15">
      <c r="A44" s="8"/>
      <c r="B44" s="71">
        <f>IF(J44=0,0,1)</f>
        <v>0</v>
      </c>
      <c r="C44" s="23" t="str">
        <f t="shared" si="1"/>
        <v>chèque</v>
      </c>
      <c r="D44" s="20" t="s">
        <v>317</v>
      </c>
      <c r="E44" s="20"/>
      <c r="F44" s="20"/>
      <c r="G44" s="20"/>
      <c r="H44" s="20"/>
      <c r="I44" s="20"/>
      <c r="J44" s="72">
        <f>Cotisation!I43</f>
        <v>0</v>
      </c>
      <c r="K44" s="8"/>
      <c r="L44" s="8"/>
      <c r="M44" s="8"/>
      <c r="N44" s="8"/>
      <c r="O44" s="8"/>
      <c r="P44" s="8"/>
    </row>
    <row r="45" spans="1:18" ht="15">
      <c r="A45" s="8"/>
      <c r="B45" s="71">
        <f>IF(J45=0,0,1)</f>
        <v>0</v>
      </c>
      <c r="C45" s="20" t="s">
        <v>25</v>
      </c>
      <c r="D45" s="20"/>
      <c r="E45" s="20"/>
      <c r="F45" s="20"/>
      <c r="G45" s="20"/>
      <c r="H45" s="20"/>
      <c r="I45" s="20"/>
      <c r="J45" s="72">
        <f>Cotisation!I45</f>
        <v>0</v>
      </c>
      <c r="K45" s="8"/>
      <c r="L45" s="8"/>
      <c r="M45" s="8"/>
      <c r="N45" s="8"/>
      <c r="O45" s="8"/>
      <c r="P45" s="8"/>
    </row>
    <row r="46" spans="1:18" ht="15">
      <c r="A46" s="8"/>
      <c r="B46" s="70"/>
      <c r="C46" s="23" t="s">
        <v>26</v>
      </c>
      <c r="D46" s="20"/>
      <c r="E46" s="20"/>
      <c r="F46" s="20"/>
      <c r="G46" s="20"/>
      <c r="H46" s="20"/>
      <c r="I46" s="20"/>
      <c r="J46" s="72">
        <f ca="1">SUM(J41:J44)</f>
        <v>0</v>
      </c>
      <c r="K46" s="8"/>
      <c r="L46" s="8"/>
      <c r="M46" s="8"/>
      <c r="N46" s="8"/>
      <c r="O46" s="8"/>
      <c r="P46" s="8"/>
    </row>
    <row r="47" spans="1:18" ht="14.25">
      <c r="A47" s="8"/>
      <c r="B47" s="20"/>
      <c r="C47" s="20"/>
      <c r="D47" s="69"/>
      <c r="E47" s="69"/>
      <c r="F47" s="8"/>
      <c r="G47" s="8"/>
      <c r="H47" s="8"/>
      <c r="I47" s="8"/>
      <c r="J47" s="8"/>
      <c r="K47" s="8"/>
      <c r="L47" s="8"/>
      <c r="M47" s="8"/>
      <c r="N47" s="8"/>
      <c r="O47" s="8"/>
      <c r="P47" s="8"/>
    </row>
    <row r="48" spans="1:18" ht="14.25">
      <c r="A48" s="79"/>
      <c r="B48" s="83" t="s">
        <v>27</v>
      </c>
      <c r="C48" s="84"/>
      <c r="D48" s="80"/>
      <c r="E48" s="80"/>
      <c r="F48" s="81"/>
      <c r="G48" s="81"/>
      <c r="H48" s="81"/>
      <c r="I48" s="81"/>
      <c r="J48" s="81"/>
      <c r="K48" s="8"/>
      <c r="L48" s="8"/>
      <c r="M48" s="8"/>
      <c r="N48" s="8"/>
      <c r="O48" s="8"/>
      <c r="P48" s="8"/>
    </row>
    <row r="49" spans="1:16" ht="14.25">
      <c r="A49" s="79"/>
      <c r="B49" s="83"/>
      <c r="C49" s="85" t="s">
        <v>28</v>
      </c>
      <c r="D49" s="80"/>
      <c r="E49" s="80"/>
      <c r="F49" s="81"/>
      <c r="G49" s="81"/>
      <c r="H49" s="81"/>
      <c r="I49" s="81"/>
      <c r="J49" s="81"/>
      <c r="K49" s="8"/>
      <c r="L49" s="8"/>
      <c r="M49" s="8"/>
      <c r="N49" s="8"/>
      <c r="O49" s="8"/>
      <c r="P49" s="8"/>
    </row>
    <row r="50" spans="1:16" ht="14.25">
      <c r="A50" s="79"/>
      <c r="B50" s="83"/>
      <c r="C50" s="85" t="s">
        <v>223</v>
      </c>
      <c r="D50" s="80"/>
      <c r="E50" s="80"/>
      <c r="F50" s="81"/>
      <c r="G50" s="81"/>
      <c r="H50" s="81"/>
      <c r="I50" s="81"/>
      <c r="J50" s="81"/>
      <c r="K50" s="8"/>
      <c r="L50" s="8"/>
      <c r="M50" s="8"/>
      <c r="N50" s="8"/>
      <c r="O50" s="8"/>
      <c r="P50" s="8"/>
    </row>
    <row r="51" spans="1:16" ht="14.25">
      <c r="A51" s="8"/>
      <c r="B51" s="70"/>
      <c r="C51" s="74"/>
      <c r="D51" s="69"/>
      <c r="E51" s="69"/>
      <c r="F51" s="8"/>
      <c r="G51" s="8"/>
      <c r="H51" s="8"/>
      <c r="I51" s="8"/>
      <c r="J51" s="8"/>
      <c r="K51" s="8"/>
      <c r="L51" s="8"/>
      <c r="M51" s="8"/>
      <c r="N51" s="8"/>
      <c r="O51" s="8"/>
      <c r="P51" s="8"/>
    </row>
    <row r="52" spans="1:16" ht="14.25">
      <c r="A52" s="14"/>
      <c r="B52" s="70"/>
      <c r="C52" s="20"/>
      <c r="D52" s="69"/>
      <c r="E52" s="69"/>
      <c r="F52" s="8"/>
      <c r="G52" s="8"/>
      <c r="H52" s="8"/>
      <c r="I52" s="8"/>
      <c r="J52" s="8"/>
      <c r="K52" s="8"/>
      <c r="L52" s="8"/>
      <c r="M52" s="8"/>
      <c r="N52" s="8"/>
      <c r="O52" s="8"/>
      <c r="P52" s="8"/>
    </row>
    <row r="53" spans="1:16">
      <c r="A53" s="8"/>
      <c r="B53" s="8"/>
      <c r="C53" s="8"/>
      <c r="D53" s="8"/>
      <c r="E53" s="8"/>
      <c r="F53" s="8"/>
      <c r="G53" s="8"/>
      <c r="H53" s="8"/>
      <c r="I53" s="8"/>
      <c r="J53" s="8"/>
      <c r="K53" s="8"/>
      <c r="L53" s="8"/>
      <c r="M53" s="8"/>
      <c r="N53" s="8"/>
      <c r="O53" s="8"/>
      <c r="P53" s="8"/>
    </row>
  </sheetData>
  <sheetProtection password="E8DD" sheet="1" objects="1" scenarios="1"/>
  <mergeCells count="16">
    <mergeCell ref="E2:J2"/>
    <mergeCell ref="B14:D14"/>
    <mergeCell ref="G35:I35"/>
    <mergeCell ref="F25:G25"/>
    <mergeCell ref="F29:H29"/>
    <mergeCell ref="F31:H31"/>
    <mergeCell ref="M29:N29"/>
    <mergeCell ref="M31:N31"/>
    <mergeCell ref="M23:N23"/>
    <mergeCell ref="M21:N21"/>
    <mergeCell ref="I33:K33"/>
    <mergeCell ref="K17:L17"/>
    <mergeCell ref="N17:O17"/>
    <mergeCell ref="M22:N22"/>
    <mergeCell ref="M25:N25"/>
    <mergeCell ref="M27:N27"/>
  </mergeCells>
  <conditionalFormatting sqref="M23 M25 M27 M29 M31">
    <cfRule type="expression" dxfId="17" priority="13" stopIfTrue="1">
      <formula>IF(M23="A compléter",TRUE,FALSE)</formula>
    </cfRule>
    <cfRule type="expression" dxfId="16" priority="14" stopIfTrue="1">
      <formula>IF(ISBLANK(M23),FALSE,TRUE)</formula>
    </cfRule>
  </conditionalFormatting>
  <dataValidations count="1">
    <dataValidation type="list" operator="equal" allowBlank="1" showErrorMessage="1" sqref="J23">
      <formula1>"Oui,Non"</formula1>
    </dataValidation>
  </dataValidations>
  <hyperlinks>
    <hyperlink ref="F27" location="Assurance!D26" display="Assurance"/>
    <hyperlink ref="F29" location="Paiement!D16" display="Paiement"/>
    <hyperlink ref="F31" location="Autorisations!J8" display="Autorisations &amp; Justificatifs"/>
    <hyperlink ref="M4" r:id="rId1"/>
    <hyperlink ref="I33" r:id="rId2"/>
    <hyperlink ref="G35" location="Imprimé!A1" display="Fiche récapitulative à imprimer"/>
    <hyperlink ref="F25:G25" location="Coordonnées!B7" display="Coordonnées"/>
    <hyperlink ref="F29:H29" location="Cotisation!D14" display="Cotisation &amp; Location de matériel"/>
  </hyperlinks>
  <pageMargins left="0.70866141732283472" right="0.70866141732283472" top="0.74803149606299213" bottom="0.74803149606299213" header="0.31496062992125984" footer="0.31496062992125984"/>
  <pageSetup paperSize="9" scale="49" orientation="portrait" useFirstPageNumber="1" horizontalDpi="300" verticalDpi="300" r:id="rId3"/>
  <headerFooter alignWithMargins="0">
    <oddHeader>&amp;C&amp;A</oddHeader>
    <oddFooter>&amp;RPage 1/5</oddFooter>
  </headerFooter>
  <drawing r:id="rId4"/>
</worksheet>
</file>

<file path=xl/worksheets/sheet2.xml><?xml version="1.0" encoding="utf-8"?>
<worksheet xmlns="http://schemas.openxmlformats.org/spreadsheetml/2006/main" xmlns:r="http://schemas.openxmlformats.org/officeDocument/2006/relationships">
  <sheetPr codeName="Feuil3">
    <tabColor theme="5"/>
    <pageSetUpPr fitToPage="1"/>
  </sheetPr>
  <dimension ref="A1:N68"/>
  <sheetViews>
    <sheetView zoomScale="75" zoomScaleNormal="75" workbookViewId="0">
      <selection activeCell="D25" sqref="D25:E25"/>
    </sheetView>
  </sheetViews>
  <sheetFormatPr baseColWidth="10" defaultColWidth="11.5703125" defaultRowHeight="12.75"/>
  <cols>
    <col min="1" max="1" width="5.140625" style="9" customWidth="1"/>
    <col min="2" max="2" width="11.5703125" style="9" customWidth="1"/>
    <col min="3" max="3" width="2.85546875" style="9" customWidth="1"/>
    <col min="4" max="4" width="15.42578125" style="9" customWidth="1"/>
    <col min="5" max="5" width="11.5703125" style="9"/>
    <col min="6" max="7" width="11.5703125" style="9" customWidth="1"/>
    <col min="8" max="8" width="11.5703125" style="9"/>
    <col min="9" max="9" width="3" style="9" customWidth="1"/>
    <col min="10" max="10" width="11.5703125" style="9" customWidth="1"/>
    <col min="11" max="11" width="13.7109375" style="9" customWidth="1"/>
    <col min="12" max="12" width="10.5703125" style="9" customWidth="1"/>
    <col min="13" max="13" width="16.28515625" style="9" hidden="1" customWidth="1"/>
    <col min="14" max="14" width="20.140625" style="9" hidden="1" customWidth="1"/>
    <col min="15" max="15" width="19.140625" style="9" customWidth="1"/>
    <col min="16" max="16384" width="11.5703125" style="9"/>
  </cols>
  <sheetData>
    <row r="1" spans="1:14" ht="14.25">
      <c r="A1" s="8"/>
      <c r="B1" s="8"/>
      <c r="C1" s="8"/>
      <c r="D1" s="8"/>
      <c r="E1" s="8"/>
      <c r="F1" s="8"/>
      <c r="G1" s="8"/>
      <c r="H1" s="8"/>
      <c r="I1" s="8"/>
      <c r="J1" s="8"/>
      <c r="K1" s="312" t="s">
        <v>29</v>
      </c>
      <c r="L1" s="312"/>
    </row>
    <row r="2" spans="1:14" ht="27" thickBot="1">
      <c r="A2" s="318" t="s">
        <v>18</v>
      </c>
      <c r="B2" s="318"/>
      <c r="C2" s="318"/>
      <c r="D2" s="318"/>
      <c r="E2" s="8"/>
      <c r="F2" s="8"/>
      <c r="G2" s="8"/>
      <c r="H2" s="8"/>
      <c r="I2" s="8"/>
      <c r="J2" s="8"/>
      <c r="K2" s="8"/>
      <c r="L2" s="8"/>
      <c r="M2" s="9" t="s">
        <v>30</v>
      </c>
      <c r="N2" s="9">
        <f>SUM(N3:N3)</f>
        <v>1</v>
      </c>
    </row>
    <row r="3" spans="1:14" ht="13.5" thickTop="1">
      <c r="A3" s="8"/>
      <c r="B3" s="8"/>
      <c r="C3" s="8"/>
      <c r="D3" s="8"/>
      <c r="E3" s="8"/>
      <c r="F3" s="8"/>
      <c r="G3" s="8"/>
      <c r="H3" s="8"/>
      <c r="I3" s="8"/>
      <c r="J3" s="8"/>
      <c r="K3" s="8"/>
      <c r="L3" s="8"/>
      <c r="M3" s="9" t="s">
        <v>31</v>
      </c>
      <c r="N3" s="9">
        <f>IF(ISBLANK($D$25),1,0)</f>
        <v>1</v>
      </c>
    </row>
    <row r="4" spans="1:14" ht="15.75" thickBot="1">
      <c r="A4" s="313" t="s">
        <v>32</v>
      </c>
      <c r="B4" s="313"/>
      <c r="C4" s="313"/>
      <c r="D4" s="313"/>
      <c r="E4" s="313"/>
      <c r="F4" s="313"/>
      <c r="G4" s="313"/>
      <c r="H4" s="313"/>
      <c r="I4" s="313"/>
      <c r="J4" s="313"/>
      <c r="K4" s="8"/>
      <c r="L4" s="8"/>
    </row>
    <row r="5" spans="1:14">
      <c r="A5" s="8"/>
      <c r="B5" s="8"/>
      <c r="C5" s="8"/>
      <c r="D5" s="8"/>
      <c r="E5" s="8"/>
      <c r="F5" s="8"/>
      <c r="G5" s="8"/>
      <c r="H5" s="8"/>
      <c r="I5" s="8"/>
      <c r="J5" s="8"/>
      <c r="K5" s="8"/>
      <c r="L5" s="8"/>
    </row>
    <row r="6" spans="1:14" ht="12.75" customHeight="1">
      <c r="A6" s="8"/>
      <c r="B6" s="314" t="s">
        <v>33</v>
      </c>
      <c r="C6" s="314"/>
      <c r="D6" s="314"/>
      <c r="E6" s="314"/>
      <c r="F6" s="314"/>
      <c r="G6" s="314"/>
      <c r="H6" s="314"/>
      <c r="I6" s="314"/>
      <c r="J6" s="314"/>
      <c r="K6" s="314"/>
      <c r="L6" s="8"/>
      <c r="M6" s="11"/>
    </row>
    <row r="7" spans="1:14">
      <c r="A7" s="8"/>
      <c r="B7" s="314"/>
      <c r="C7" s="314"/>
      <c r="D7" s="314"/>
      <c r="E7" s="314"/>
      <c r="F7" s="314"/>
      <c r="G7" s="314"/>
      <c r="H7" s="314"/>
      <c r="I7" s="314"/>
      <c r="J7" s="314"/>
      <c r="K7" s="314"/>
      <c r="L7" s="8"/>
    </row>
    <row r="8" spans="1:14">
      <c r="A8" s="8"/>
      <c r="B8" s="314"/>
      <c r="C8" s="314"/>
      <c r="D8" s="314"/>
      <c r="E8" s="314"/>
      <c r="F8" s="314"/>
      <c r="G8" s="314"/>
      <c r="H8" s="314"/>
      <c r="I8" s="314"/>
      <c r="J8" s="314"/>
      <c r="K8" s="314"/>
      <c r="L8" s="8"/>
    </row>
    <row r="9" spans="1:14">
      <c r="A9" s="8"/>
      <c r="B9" s="314"/>
      <c r="C9" s="314"/>
      <c r="D9" s="314"/>
      <c r="E9" s="314"/>
      <c r="F9" s="314"/>
      <c r="G9" s="314"/>
      <c r="H9" s="314"/>
      <c r="I9" s="314"/>
      <c r="J9" s="314"/>
      <c r="K9" s="314"/>
      <c r="L9" s="8"/>
    </row>
    <row r="10" spans="1:14">
      <c r="A10" s="8"/>
      <c r="B10" s="314"/>
      <c r="C10" s="314"/>
      <c r="D10" s="314"/>
      <c r="E10" s="314"/>
      <c r="F10" s="314"/>
      <c r="G10" s="314"/>
      <c r="H10" s="314"/>
      <c r="I10" s="314"/>
      <c r="J10" s="314"/>
      <c r="K10" s="314"/>
      <c r="L10" s="8"/>
    </row>
    <row r="11" spans="1:14" ht="12.75" customHeight="1">
      <c r="A11" s="8"/>
      <c r="B11" s="314"/>
      <c r="C11" s="314"/>
      <c r="D11" s="314"/>
      <c r="E11" s="314"/>
      <c r="F11" s="314"/>
      <c r="G11" s="314"/>
      <c r="H11" s="314"/>
      <c r="I11" s="314"/>
      <c r="J11" s="314"/>
      <c r="K11" s="314"/>
      <c r="L11" s="8"/>
    </row>
    <row r="12" spans="1:14">
      <c r="A12" s="8"/>
      <c r="B12" s="314"/>
      <c r="C12" s="314"/>
      <c r="D12" s="314"/>
      <c r="E12" s="314"/>
      <c r="F12" s="314"/>
      <c r="G12" s="314"/>
      <c r="H12" s="314"/>
      <c r="I12" s="314"/>
      <c r="J12" s="314"/>
      <c r="K12" s="314"/>
      <c r="L12" s="8"/>
    </row>
    <row r="13" spans="1:14">
      <c r="A13" s="8"/>
      <c r="B13" s="314"/>
      <c r="C13" s="314"/>
      <c r="D13" s="314"/>
      <c r="E13" s="314"/>
      <c r="F13" s="314"/>
      <c r="G13" s="314"/>
      <c r="H13" s="314"/>
      <c r="I13" s="314"/>
      <c r="J13" s="314"/>
      <c r="K13" s="314"/>
      <c r="L13" s="8"/>
    </row>
    <row r="14" spans="1:14">
      <c r="A14" s="8"/>
      <c r="B14" s="8"/>
      <c r="C14" s="8"/>
      <c r="D14" s="8"/>
      <c r="E14" s="8"/>
      <c r="F14" s="8"/>
      <c r="G14" s="8"/>
      <c r="H14" s="8"/>
      <c r="I14" s="8"/>
      <c r="J14" s="8"/>
      <c r="K14" s="8"/>
      <c r="L14" s="8"/>
    </row>
    <row r="15" spans="1:14" ht="14.25">
      <c r="A15" s="8"/>
      <c r="B15" s="20" t="s">
        <v>34</v>
      </c>
      <c r="C15" s="8"/>
      <c r="D15" s="8"/>
      <c r="E15" s="8"/>
      <c r="F15" s="8"/>
      <c r="G15" s="8"/>
      <c r="H15" s="8"/>
      <c r="I15" s="8"/>
      <c r="J15" s="8"/>
      <c r="K15" s="8"/>
      <c r="L15" s="8"/>
    </row>
    <row r="16" spans="1:14">
      <c r="A16" s="8"/>
      <c r="B16" s="319" t="s">
        <v>35</v>
      </c>
      <c r="C16" s="319"/>
      <c r="D16" s="319"/>
      <c r="E16" s="319"/>
      <c r="F16" s="319"/>
      <c r="G16" s="319"/>
      <c r="H16" s="319"/>
      <c r="I16" s="319"/>
      <c r="J16" s="319"/>
      <c r="K16" s="319"/>
      <c r="L16" s="8"/>
    </row>
    <row r="17" spans="1:14">
      <c r="A17" s="8"/>
      <c r="B17" s="8"/>
      <c r="C17" s="8"/>
      <c r="D17" s="8"/>
      <c r="E17" s="8"/>
      <c r="F17" s="8"/>
      <c r="G17" s="8"/>
      <c r="H17" s="8"/>
      <c r="I17" s="8"/>
      <c r="J17" s="8"/>
      <c r="K17" s="8"/>
      <c r="L17" s="8"/>
    </row>
    <row r="18" spans="1:14" ht="15.75" thickBot="1">
      <c r="A18" s="313" t="s">
        <v>36</v>
      </c>
      <c r="B18" s="313"/>
      <c r="C18" s="313"/>
      <c r="D18" s="313"/>
      <c r="E18" s="313"/>
      <c r="F18" s="313"/>
      <c r="G18" s="313"/>
      <c r="H18" s="313"/>
      <c r="I18" s="313"/>
      <c r="J18" s="313"/>
      <c r="K18" s="8"/>
      <c r="L18" s="8"/>
    </row>
    <row r="19" spans="1:14">
      <c r="A19" s="8"/>
      <c r="B19" s="8"/>
      <c r="C19" s="8"/>
      <c r="D19" s="8"/>
      <c r="E19" s="8"/>
      <c r="F19" s="8"/>
      <c r="G19" s="8"/>
      <c r="H19" s="8"/>
      <c r="I19" s="8"/>
      <c r="J19" s="8"/>
      <c r="K19" s="8"/>
      <c r="L19" s="8"/>
    </row>
    <row r="20" spans="1:14" ht="15">
      <c r="A20" s="8"/>
      <c r="B20" s="8"/>
      <c r="C20" s="315" t="s">
        <v>37</v>
      </c>
      <c r="D20" s="315"/>
      <c r="E20" s="12">
        <f>VLOOKUP(C20,Paramètres,2,FALSE)</f>
        <v>0</v>
      </c>
      <c r="F20" s="20" t="s">
        <v>38</v>
      </c>
      <c r="G20" s="8"/>
      <c r="H20" s="8"/>
      <c r="I20" s="8"/>
      <c r="J20" s="8"/>
      <c r="K20" s="8"/>
      <c r="L20" s="8"/>
    </row>
    <row r="21" spans="1:14" ht="15">
      <c r="A21" s="8"/>
      <c r="B21" s="8"/>
      <c r="C21" s="315" t="s">
        <v>39</v>
      </c>
      <c r="D21" s="315"/>
      <c r="E21" s="12">
        <f>VLOOKUP(C21,Paramètres,2,FALSE)</f>
        <v>3</v>
      </c>
      <c r="F21" s="8"/>
      <c r="G21" s="8"/>
      <c r="H21" s="8"/>
      <c r="I21" s="8"/>
      <c r="J21" s="8"/>
      <c r="K21" s="8"/>
      <c r="L21" s="8"/>
    </row>
    <row r="22" spans="1:14">
      <c r="A22" s="8"/>
      <c r="B22" s="13"/>
      <c r="C22" s="8"/>
      <c r="D22" s="8"/>
      <c r="E22" s="8"/>
      <c r="F22" s="8"/>
      <c r="G22" s="8"/>
      <c r="H22" s="8"/>
      <c r="I22" s="8"/>
      <c r="J22" s="8"/>
      <c r="K22" s="8"/>
      <c r="L22" s="8"/>
    </row>
    <row r="23" spans="1:14" ht="15.75" thickBot="1">
      <c r="A23" s="313" t="s">
        <v>40</v>
      </c>
      <c r="B23" s="313"/>
      <c r="C23" s="313"/>
      <c r="D23" s="313"/>
      <c r="E23" s="313"/>
      <c r="F23" s="313"/>
      <c r="G23" s="313"/>
      <c r="H23" s="313"/>
      <c r="I23" s="313"/>
      <c r="J23" s="313"/>
      <c r="K23" s="8"/>
      <c r="L23" s="8"/>
    </row>
    <row r="24" spans="1:14" ht="13.5" thickBot="1">
      <c r="A24" s="8"/>
      <c r="B24" s="8"/>
      <c r="C24" s="8"/>
      <c r="D24" s="15"/>
      <c r="E24" s="8"/>
      <c r="F24" s="8"/>
      <c r="G24" s="8"/>
      <c r="H24" s="8"/>
      <c r="I24" s="8"/>
      <c r="J24" s="8"/>
      <c r="K24" s="8"/>
      <c r="L24" s="8"/>
    </row>
    <row r="25" spans="1:14" ht="15.75" thickBot="1">
      <c r="A25" s="8"/>
      <c r="B25" s="23" t="s">
        <v>41</v>
      </c>
      <c r="C25" s="8"/>
      <c r="D25" s="316"/>
      <c r="E25" s="317"/>
      <c r="F25" s="8"/>
      <c r="G25" s="8"/>
      <c r="H25" s="20" t="s">
        <v>42</v>
      </c>
      <c r="I25" s="8"/>
      <c r="J25" s="12">
        <f>IF(ISBLANK($D$25),$M$26,VLOOKUP(D25,Paramètres,2,FALSE))</f>
        <v>0</v>
      </c>
      <c r="K25" s="8"/>
      <c r="L25" s="8"/>
      <c r="M25" s="9" t="s">
        <v>30</v>
      </c>
      <c r="N25" s="9">
        <f>SUM(N43:N43)</f>
        <v>0</v>
      </c>
    </row>
    <row r="26" spans="1:14">
      <c r="A26" s="8"/>
      <c r="B26" s="8"/>
      <c r="C26" s="8"/>
      <c r="D26" s="8"/>
      <c r="E26" s="8"/>
      <c r="F26" s="8"/>
      <c r="G26" s="8"/>
      <c r="H26" s="8"/>
      <c r="I26" s="8"/>
      <c r="J26" s="8"/>
      <c r="K26" s="8"/>
      <c r="L26" s="8"/>
      <c r="M26" s="9">
        <v>0</v>
      </c>
    </row>
    <row r="27" spans="1:14" ht="14.25">
      <c r="A27" s="8"/>
      <c r="B27" s="8"/>
      <c r="C27" s="20"/>
      <c r="D27" s="20"/>
      <c r="E27" s="8"/>
      <c r="F27" s="8"/>
      <c r="G27" s="8"/>
      <c r="H27" s="8"/>
      <c r="I27" s="8"/>
      <c r="J27" s="8"/>
      <c r="K27" s="8"/>
      <c r="L27" s="8"/>
    </row>
    <row r="28" spans="1:14" ht="27" thickBot="1">
      <c r="A28" s="318" t="s">
        <v>43</v>
      </c>
      <c r="B28" s="318"/>
      <c r="C28" s="318"/>
      <c r="D28" s="318"/>
      <c r="E28" s="8"/>
      <c r="F28" s="8"/>
      <c r="G28" s="8"/>
      <c r="H28" s="8"/>
      <c r="I28" s="8"/>
      <c r="J28" s="8"/>
      <c r="K28" s="8"/>
      <c r="L28" s="8"/>
    </row>
    <row r="29" spans="1:14" ht="15" thickTop="1">
      <c r="A29" s="8"/>
      <c r="B29" s="8"/>
      <c r="C29" s="20"/>
      <c r="D29" s="20"/>
      <c r="E29" s="8"/>
      <c r="F29" s="8"/>
      <c r="G29" s="8"/>
      <c r="H29" s="8"/>
      <c r="I29" s="8"/>
      <c r="J29" s="8"/>
      <c r="K29" s="8"/>
      <c r="L29" s="8"/>
    </row>
    <row r="30" spans="1:14" ht="14.25">
      <c r="A30" s="8"/>
      <c r="B30" s="20" t="s">
        <v>44</v>
      </c>
      <c r="C30" s="20"/>
      <c r="D30" s="20"/>
      <c r="E30" s="8"/>
      <c r="F30" s="8"/>
      <c r="G30" s="8"/>
      <c r="H30" s="8"/>
      <c r="I30" s="8"/>
      <c r="J30" s="8"/>
      <c r="K30" s="8"/>
      <c r="L30" s="8"/>
    </row>
    <row r="31" spans="1:14" ht="14.25">
      <c r="A31" s="8"/>
      <c r="B31" s="20"/>
      <c r="C31" s="20"/>
      <c r="D31" s="20"/>
      <c r="E31" s="8"/>
      <c r="F31" s="8"/>
      <c r="G31" s="8"/>
      <c r="H31" s="8"/>
      <c r="I31" s="8"/>
      <c r="J31" s="8"/>
      <c r="K31" s="8"/>
      <c r="L31" s="8"/>
    </row>
    <row r="32" spans="1:14" ht="14.25">
      <c r="A32" s="8"/>
      <c r="B32" s="20" t="s">
        <v>320</v>
      </c>
      <c r="C32" s="20"/>
      <c r="D32" s="20"/>
      <c r="E32" s="8"/>
      <c r="F32" s="8"/>
      <c r="G32" s="8"/>
      <c r="H32" s="8"/>
      <c r="I32" s="8"/>
      <c r="J32" s="8"/>
      <c r="K32" s="8"/>
      <c r="L32" s="8"/>
    </row>
    <row r="33" spans="1:12" ht="14.25">
      <c r="A33" s="8"/>
      <c r="B33" s="20" t="s">
        <v>290</v>
      </c>
      <c r="C33" s="20"/>
      <c r="D33" s="20"/>
      <c r="E33" s="8"/>
      <c r="F33" s="8"/>
      <c r="G33" s="8"/>
      <c r="H33" s="8"/>
      <c r="I33" s="8"/>
      <c r="J33" s="8"/>
      <c r="K33" s="8"/>
      <c r="L33" s="8"/>
    </row>
    <row r="34" spans="1:12" ht="14.25">
      <c r="A34" s="8"/>
      <c r="B34" s="20" t="s">
        <v>45</v>
      </c>
      <c r="C34" s="20"/>
      <c r="D34" s="20"/>
      <c r="E34" s="8"/>
      <c r="F34" s="8"/>
      <c r="G34" s="8"/>
      <c r="H34" s="8"/>
      <c r="I34" s="8"/>
      <c r="J34" s="8"/>
      <c r="K34" s="8"/>
      <c r="L34" s="8"/>
    </row>
    <row r="35" spans="1:12" ht="14.25">
      <c r="A35" s="8"/>
      <c r="B35" s="20"/>
      <c r="C35" s="20"/>
      <c r="D35" s="20"/>
      <c r="E35" s="8"/>
      <c r="F35" s="8"/>
      <c r="G35" s="8"/>
      <c r="H35" s="8"/>
      <c r="I35" s="8"/>
      <c r="J35" s="8"/>
      <c r="K35" s="8"/>
      <c r="L35" s="8"/>
    </row>
    <row r="36" spans="1:12" ht="14.25">
      <c r="A36" s="8"/>
      <c r="B36" s="20"/>
      <c r="C36" s="20" t="s">
        <v>46</v>
      </c>
      <c r="D36" s="20"/>
      <c r="E36" s="8"/>
      <c r="F36" s="8"/>
      <c r="G36" s="8"/>
      <c r="H36" s="8"/>
      <c r="I36" s="8"/>
      <c r="J36" s="8"/>
      <c r="K36" s="8"/>
      <c r="L36" s="8"/>
    </row>
    <row r="37" spans="1:12" ht="15">
      <c r="A37" s="8"/>
      <c r="B37" s="20"/>
      <c r="C37" s="23" t="s">
        <v>47</v>
      </c>
      <c r="D37" s="20"/>
      <c r="E37" s="8"/>
      <c r="F37" s="8"/>
      <c r="G37" s="8"/>
      <c r="H37" s="8"/>
      <c r="I37" s="8"/>
      <c r="J37" s="8"/>
      <c r="K37" s="8"/>
      <c r="L37" s="8"/>
    </row>
    <row r="38" spans="1:12" ht="14.25">
      <c r="A38" s="8"/>
      <c r="B38" s="20"/>
      <c r="C38" s="20"/>
      <c r="D38" s="20"/>
      <c r="E38" s="8"/>
      <c r="F38" s="8"/>
      <c r="G38" s="8"/>
      <c r="H38" s="8"/>
      <c r="I38" s="8"/>
      <c r="J38" s="8"/>
      <c r="K38" s="8"/>
      <c r="L38" s="8"/>
    </row>
    <row r="39" spans="1:12" ht="14.25" customHeight="1">
      <c r="A39" s="8"/>
      <c r="B39" s="20" t="s">
        <v>48</v>
      </c>
      <c r="C39" s="8"/>
      <c r="D39" s="8"/>
      <c r="E39" s="8"/>
      <c r="F39" s="8"/>
      <c r="G39" s="8"/>
      <c r="H39" s="8"/>
      <c r="I39" s="8"/>
      <c r="J39" s="8"/>
      <c r="K39" s="8"/>
      <c r="L39" s="8"/>
    </row>
    <row r="40" spans="1:12">
      <c r="A40" s="8"/>
      <c r="B40" s="311" t="s">
        <v>49</v>
      </c>
      <c r="C40" s="311"/>
      <c r="D40" s="311"/>
      <c r="E40" s="311"/>
      <c r="F40" s="311"/>
      <c r="G40" s="311"/>
      <c r="H40" s="311"/>
      <c r="I40" s="311"/>
      <c r="J40" s="311"/>
      <c r="K40" s="311"/>
      <c r="L40" s="8"/>
    </row>
    <row r="41" spans="1:12" ht="14.25">
      <c r="A41" s="8"/>
      <c r="B41" s="8"/>
      <c r="C41" s="20"/>
      <c r="D41" s="20"/>
      <c r="E41" s="8"/>
      <c r="F41" s="8"/>
      <c r="G41" s="8"/>
      <c r="H41" s="8"/>
      <c r="I41" s="8"/>
      <c r="J41" s="8"/>
      <c r="K41" s="8"/>
      <c r="L41" s="8"/>
    </row>
    <row r="42" spans="1:12" ht="27" thickBot="1">
      <c r="A42" s="318" t="s">
        <v>50</v>
      </c>
      <c r="B42" s="318"/>
      <c r="C42" s="318"/>
      <c r="D42" s="318"/>
      <c r="E42" s="8"/>
      <c r="F42" s="8"/>
      <c r="G42" s="8"/>
      <c r="H42" s="8"/>
      <c r="I42" s="8"/>
      <c r="J42" s="8"/>
      <c r="K42" s="8"/>
      <c r="L42" s="8"/>
    </row>
    <row r="43" spans="1:12" ht="15" thickTop="1">
      <c r="A43" s="8"/>
      <c r="B43" s="8"/>
      <c r="C43" s="20"/>
      <c r="D43" s="20"/>
      <c r="E43" s="8"/>
      <c r="F43" s="8"/>
      <c r="G43" s="8"/>
      <c r="H43" s="8"/>
      <c r="I43" s="8"/>
      <c r="J43" s="8"/>
      <c r="K43" s="8"/>
      <c r="L43" s="8"/>
    </row>
    <row r="44" spans="1:12" ht="14.25">
      <c r="A44" s="8"/>
      <c r="B44" s="20" t="s">
        <v>51</v>
      </c>
      <c r="C44" s="20"/>
      <c r="D44" s="20"/>
      <c r="E44" s="8"/>
      <c r="F44" s="8"/>
      <c r="G44" s="8"/>
      <c r="H44" s="8"/>
      <c r="I44" s="8"/>
      <c r="J44" s="8"/>
      <c r="K44" s="8"/>
      <c r="L44" s="8"/>
    </row>
    <row r="45" spans="1:12" ht="14.25">
      <c r="A45" s="8"/>
      <c r="B45" s="20" t="s">
        <v>52</v>
      </c>
      <c r="C45" s="20"/>
      <c r="D45" s="20"/>
      <c r="E45" s="8"/>
      <c r="F45" s="8"/>
      <c r="G45" s="8"/>
      <c r="H45" s="8"/>
      <c r="I45" s="8"/>
      <c r="J45" s="8"/>
      <c r="K45" s="8"/>
      <c r="L45" s="8"/>
    </row>
    <row r="46" spans="1:12" ht="14.25">
      <c r="A46" s="8"/>
      <c r="B46" s="20" t="s">
        <v>53</v>
      </c>
      <c r="C46" s="20"/>
      <c r="D46" s="20"/>
      <c r="E46" s="8"/>
      <c r="F46" s="8"/>
      <c r="G46" s="8"/>
      <c r="H46" s="8"/>
      <c r="I46" s="8"/>
      <c r="J46" s="8"/>
      <c r="K46" s="8"/>
      <c r="L46" s="8"/>
    </row>
    <row r="47" spans="1:12" ht="14.25">
      <c r="A47" s="8"/>
      <c r="B47" s="20"/>
      <c r="C47" s="20"/>
      <c r="D47" s="20"/>
      <c r="E47" s="8"/>
      <c r="F47" s="8"/>
      <c r="G47" s="8"/>
      <c r="H47" s="8"/>
      <c r="I47" s="8"/>
      <c r="J47" s="8"/>
      <c r="K47" s="8"/>
      <c r="L47" s="8"/>
    </row>
    <row r="48" spans="1:12" ht="15">
      <c r="A48" s="8"/>
      <c r="B48" s="74" t="s">
        <v>54</v>
      </c>
      <c r="C48" s="20"/>
      <c r="D48" s="20"/>
      <c r="E48" s="8"/>
      <c r="F48" s="8"/>
      <c r="G48" s="8"/>
      <c r="H48" s="8"/>
      <c r="I48" s="8"/>
      <c r="J48" s="8"/>
      <c r="K48" s="8"/>
      <c r="L48" s="8"/>
    </row>
    <row r="49" spans="1:12" ht="14.25">
      <c r="A49" s="8"/>
      <c r="B49" s="20" t="s">
        <v>55</v>
      </c>
      <c r="C49" s="20"/>
      <c r="D49" s="20"/>
      <c r="E49" s="8"/>
      <c r="F49" s="8"/>
      <c r="G49" s="8"/>
      <c r="H49" s="8"/>
      <c r="I49" s="8"/>
      <c r="J49" s="8"/>
      <c r="K49" s="8"/>
      <c r="L49" s="8"/>
    </row>
    <row r="50" spans="1:12" ht="14.25">
      <c r="A50" s="8"/>
      <c r="B50" s="20"/>
      <c r="C50" s="20"/>
      <c r="D50" s="20"/>
      <c r="E50" s="8"/>
      <c r="F50" s="8"/>
      <c r="G50" s="8"/>
      <c r="H50" s="8"/>
      <c r="I50" s="8"/>
      <c r="J50" s="8"/>
      <c r="K50" s="8"/>
      <c r="L50" s="8"/>
    </row>
    <row r="51" spans="1:12" ht="15">
      <c r="A51" s="8"/>
      <c r="B51" s="20" t="s">
        <v>56</v>
      </c>
      <c r="C51" s="20"/>
      <c r="D51" s="20"/>
      <c r="E51" s="8"/>
      <c r="F51" s="8"/>
      <c r="G51" s="8"/>
      <c r="H51" s="8"/>
      <c r="I51" s="8"/>
      <c r="J51" s="8"/>
      <c r="K51" s="8"/>
      <c r="L51" s="8"/>
    </row>
    <row r="52" spans="1:12" ht="14.25">
      <c r="A52" s="8"/>
      <c r="B52" s="20" t="s">
        <v>57</v>
      </c>
      <c r="C52" s="20"/>
      <c r="D52" s="20"/>
      <c r="E52" s="8"/>
      <c r="F52" s="8"/>
      <c r="G52" s="8"/>
      <c r="H52" s="8"/>
      <c r="I52" s="8"/>
      <c r="J52" s="8"/>
      <c r="K52" s="8"/>
      <c r="L52" s="8"/>
    </row>
    <row r="53" spans="1:12" ht="14.25">
      <c r="A53" s="8"/>
      <c r="B53" s="20" t="s">
        <v>58</v>
      </c>
      <c r="C53" s="20"/>
      <c r="D53" s="20"/>
      <c r="E53" s="8"/>
      <c r="F53" s="8"/>
      <c r="G53" s="8"/>
      <c r="H53" s="8"/>
      <c r="I53" s="8"/>
      <c r="J53" s="8"/>
      <c r="K53" s="8"/>
      <c r="L53" s="8"/>
    </row>
    <row r="54" spans="1:12" ht="7.5" customHeight="1">
      <c r="A54" s="8"/>
      <c r="B54" s="20"/>
      <c r="C54" s="20"/>
      <c r="D54" s="20"/>
      <c r="E54" s="8"/>
      <c r="F54" s="8"/>
      <c r="G54" s="8"/>
      <c r="H54" s="8"/>
      <c r="I54" s="8"/>
      <c r="J54" s="8"/>
      <c r="K54" s="8"/>
      <c r="L54" s="8"/>
    </row>
    <row r="55" spans="1:12" ht="14.25">
      <c r="A55" s="8"/>
      <c r="B55" s="74" t="s">
        <v>59</v>
      </c>
      <c r="C55" s="20"/>
      <c r="D55" s="20"/>
      <c r="E55" s="8"/>
      <c r="F55" s="8"/>
      <c r="G55" s="8"/>
      <c r="H55" s="8"/>
      <c r="I55" s="8"/>
      <c r="J55" s="8"/>
      <c r="K55" s="8"/>
      <c r="L55" s="8"/>
    </row>
    <row r="56" spans="1:12" ht="14.25">
      <c r="A56" s="8"/>
      <c r="B56" s="20" t="s">
        <v>60</v>
      </c>
      <c r="C56" s="20"/>
      <c r="D56" s="20"/>
      <c r="E56" s="8"/>
      <c r="F56" s="8"/>
      <c r="G56" s="8"/>
      <c r="H56" s="8"/>
      <c r="I56" s="8"/>
      <c r="J56" s="8"/>
      <c r="K56" s="8"/>
      <c r="L56" s="8"/>
    </row>
    <row r="57" spans="1:12" ht="14.25">
      <c r="A57" s="8"/>
      <c r="B57" s="74" t="s">
        <v>61</v>
      </c>
      <c r="C57" s="20"/>
      <c r="D57" s="20"/>
      <c r="E57" s="8"/>
      <c r="F57" s="8"/>
      <c r="G57" s="8"/>
      <c r="H57" s="8"/>
      <c r="I57" s="8"/>
      <c r="J57" s="8"/>
      <c r="K57" s="8"/>
      <c r="L57" s="8"/>
    </row>
    <row r="58" spans="1:12" ht="14.25">
      <c r="A58" s="8"/>
      <c r="B58" s="74" t="s">
        <v>62</v>
      </c>
      <c r="C58" s="20"/>
      <c r="D58" s="20"/>
      <c r="E58" s="8"/>
      <c r="F58" s="8"/>
      <c r="G58" s="8"/>
      <c r="H58" s="8"/>
      <c r="I58" s="8"/>
      <c r="J58" s="8"/>
      <c r="K58" s="8"/>
      <c r="L58" s="8"/>
    </row>
    <row r="59" spans="1:12" ht="14.25">
      <c r="A59" s="8"/>
      <c r="B59" s="8"/>
      <c r="C59" s="20"/>
      <c r="D59" s="20"/>
      <c r="E59" s="8"/>
      <c r="F59" s="8"/>
      <c r="G59" s="8"/>
      <c r="H59" s="8"/>
      <c r="I59" s="8"/>
      <c r="J59" s="8"/>
      <c r="K59" s="8"/>
      <c r="L59" s="8"/>
    </row>
    <row r="60" spans="1:12" ht="14.25">
      <c r="A60" s="8"/>
      <c r="B60" s="20" t="s">
        <v>63</v>
      </c>
      <c r="C60" s="20"/>
      <c r="D60" s="20"/>
      <c r="E60" s="8"/>
      <c r="F60" s="8"/>
      <c r="G60" s="8"/>
      <c r="H60" s="8"/>
      <c r="I60" s="8"/>
      <c r="J60" s="8"/>
      <c r="K60" s="8"/>
      <c r="L60" s="8"/>
    </row>
    <row r="61" spans="1:12" ht="14.25" customHeight="1">
      <c r="A61" s="8"/>
      <c r="B61" s="311" t="s">
        <v>246</v>
      </c>
      <c r="C61" s="311"/>
      <c r="D61" s="311"/>
      <c r="E61" s="311"/>
      <c r="F61" s="311"/>
      <c r="G61" s="311"/>
      <c r="H61" s="311"/>
      <c r="I61" s="311"/>
      <c r="J61" s="311"/>
      <c r="K61" s="311"/>
      <c r="L61" s="8"/>
    </row>
    <row r="62" spans="1:12" ht="14.25">
      <c r="A62" s="8"/>
      <c r="B62" s="8"/>
      <c r="C62" s="20"/>
      <c r="D62" s="20"/>
      <c r="E62" s="8"/>
      <c r="F62" s="8"/>
      <c r="G62" s="8"/>
      <c r="H62" s="8"/>
      <c r="I62" s="8"/>
      <c r="J62" s="8"/>
      <c r="K62" s="8"/>
      <c r="L62" s="8"/>
    </row>
    <row r="63" spans="1:12" ht="15.75" thickBot="1">
      <c r="A63" s="313" t="s">
        <v>64</v>
      </c>
      <c r="B63" s="313"/>
      <c r="C63" s="313"/>
      <c r="D63" s="313"/>
      <c r="E63" s="313"/>
      <c r="F63" s="313"/>
      <c r="G63" s="313"/>
      <c r="H63" s="313"/>
      <c r="I63" s="313"/>
      <c r="J63" s="313"/>
      <c r="K63" s="8"/>
      <c r="L63" s="8"/>
    </row>
    <row r="64" spans="1:12" ht="14.25">
      <c r="A64" s="8"/>
      <c r="B64" s="21" t="str">
        <f>IF(N2=0,"Complété","A compléter")</f>
        <v>A compléter</v>
      </c>
      <c r="C64" s="20"/>
      <c r="D64" s="20" t="str">
        <f>"Il reste "&amp;N2&amp;" zone obligatoire à renseigner."</f>
        <v>Il reste 1 zone obligatoire à renseigner.</v>
      </c>
      <c r="E64" s="8"/>
      <c r="F64" s="8"/>
      <c r="G64" s="8"/>
      <c r="H64" s="8"/>
      <c r="I64" s="8"/>
      <c r="J64" s="8"/>
      <c r="K64" s="8"/>
      <c r="L64" s="8"/>
    </row>
    <row r="65" spans="1:12" ht="14.25">
      <c r="A65" s="8"/>
      <c r="B65" s="8"/>
      <c r="C65" s="20"/>
      <c r="D65" s="20"/>
      <c r="E65" s="8"/>
      <c r="F65" s="8"/>
      <c r="G65" s="8"/>
      <c r="H65" s="8"/>
      <c r="I65" s="8"/>
      <c r="J65" s="8"/>
      <c r="K65" s="8"/>
      <c r="L65" s="8"/>
    </row>
    <row r="66" spans="1:12">
      <c r="A66" s="8"/>
      <c r="B66" s="8"/>
      <c r="C66" s="8"/>
      <c r="D66" s="8"/>
      <c r="E66" s="8"/>
      <c r="F66" s="8"/>
      <c r="G66" s="8"/>
      <c r="H66" s="8"/>
      <c r="I66" s="8"/>
      <c r="J66" s="8"/>
      <c r="K66" s="8"/>
      <c r="L66" s="8"/>
    </row>
    <row r="67" spans="1:12" ht="14.25">
      <c r="A67" s="8"/>
      <c r="B67" s="8"/>
      <c r="C67" s="8"/>
      <c r="D67" s="8"/>
      <c r="E67" s="8"/>
      <c r="F67" s="8"/>
      <c r="G67" s="8"/>
      <c r="H67" s="8"/>
      <c r="I67" s="8"/>
      <c r="J67" s="8"/>
      <c r="K67" s="312" t="s">
        <v>65</v>
      </c>
      <c r="L67" s="312"/>
    </row>
    <row r="68" spans="1:12">
      <c r="A68" s="8"/>
      <c r="B68" s="8"/>
      <c r="C68" s="8"/>
      <c r="D68" s="8"/>
      <c r="E68" s="8"/>
      <c r="F68" s="8"/>
      <c r="G68" s="8"/>
      <c r="H68" s="8"/>
      <c r="I68" s="8"/>
      <c r="J68" s="8"/>
      <c r="K68" s="8"/>
      <c r="L68" s="8"/>
    </row>
  </sheetData>
  <sheetProtection password="E8DD" sheet="1" objects="1" scenarios="1"/>
  <mergeCells count="16">
    <mergeCell ref="B40:K40"/>
    <mergeCell ref="K67:L67"/>
    <mergeCell ref="K1:L1"/>
    <mergeCell ref="A4:J4"/>
    <mergeCell ref="A18:J18"/>
    <mergeCell ref="A23:J23"/>
    <mergeCell ref="A63:J63"/>
    <mergeCell ref="B6:K13"/>
    <mergeCell ref="C20:D20"/>
    <mergeCell ref="C21:D21"/>
    <mergeCell ref="D25:E25"/>
    <mergeCell ref="A2:D2"/>
    <mergeCell ref="B16:K16"/>
    <mergeCell ref="A28:D28"/>
    <mergeCell ref="A42:D42"/>
    <mergeCell ref="B61:K61"/>
  </mergeCells>
  <conditionalFormatting sqref="B64">
    <cfRule type="expression" dxfId="15" priority="1" stopIfTrue="1">
      <formula>IF($B$64="Complété",TRUE,FALSE)</formula>
    </cfRule>
  </conditionalFormatting>
  <dataValidations count="1">
    <dataValidation type="list" allowBlank="1" showInputMessage="1" showErrorMessage="1" sqref="D25:E25">
      <formula1>"Option de base,Option +"</formula1>
    </dataValidation>
  </dataValidations>
  <hyperlinks>
    <hyperlink ref="K67" location="Sommaire!C29" display="Revenir au sommaire"/>
    <hyperlink ref="K1" location="Sommaire!C29" display="Revenir au sommaire"/>
    <hyperlink ref="K67:L67" location="Cotisation!D14" display="Rubrique suivante"/>
    <hyperlink ref="K1:L1" location="Sommaire!C32" display="Revenir au sommaire"/>
    <hyperlink ref="B16" r:id="rId1"/>
    <hyperlink ref="B16:K16" r:id="rId2" display="http://www.escrime-ffe.fr/assurances/assurance-et-declaration-d-accident"/>
    <hyperlink ref="B40" r:id="rId3"/>
    <hyperlink ref="B61:K61" r:id="rId4" display="https://www.escrime-ffe.fr/fr/ffe/vie-du-club-et-des-comites/certificats-medicaux-et-surclassements.html"/>
  </hyperlinks>
  <pageMargins left="0.78740157480314965" right="0.78740157480314965" top="1.0236220472440944" bottom="1.0236220472440944" header="0.78740157480314965" footer="0.78740157480314965"/>
  <pageSetup paperSize="9" scale="72" orientation="portrait" horizontalDpi="300" verticalDpi="300" r:id="rId5"/>
  <headerFooter alignWithMargins="0">
    <oddHeader>&amp;C&amp;A</oddHeader>
    <oddFooter>&amp;RPager 3/5</oddFooter>
  </headerFooter>
  <drawing r:id="rId6"/>
</worksheet>
</file>

<file path=xl/worksheets/sheet3.xml><?xml version="1.0" encoding="utf-8"?>
<worksheet xmlns="http://schemas.openxmlformats.org/spreadsheetml/2006/main" xmlns:r="http://schemas.openxmlformats.org/officeDocument/2006/relationships">
  <sheetPr codeName="Feuil2">
    <tabColor theme="3"/>
    <pageSetUpPr fitToPage="1"/>
  </sheetPr>
  <dimension ref="A1:V64"/>
  <sheetViews>
    <sheetView showGridLines="0" zoomScale="71" zoomScaleNormal="71" workbookViewId="0">
      <selection activeCell="B7" sqref="B7"/>
    </sheetView>
  </sheetViews>
  <sheetFormatPr baseColWidth="10" defaultColWidth="11.5703125" defaultRowHeight="12.75"/>
  <cols>
    <col min="1" max="1" width="5.140625" style="9" customWidth="1"/>
    <col min="2" max="2" width="15.7109375" style="9" customWidth="1"/>
    <col min="3" max="3" width="2.5703125" style="9" customWidth="1"/>
    <col min="4" max="4" width="12.7109375" style="9" customWidth="1"/>
    <col min="5" max="5" width="11.5703125" style="9"/>
    <col min="6" max="6" width="11.5703125" style="9" customWidth="1"/>
    <col min="7" max="7" width="2.7109375" style="9" customWidth="1"/>
    <col min="8" max="8" width="11.5703125" style="9"/>
    <col min="9" max="9" width="9.85546875" style="9" customWidth="1"/>
    <col min="10" max="10" width="3.7109375" style="9" customWidth="1"/>
    <col min="11" max="11" width="16.85546875" style="9" bestFit="1" customWidth="1"/>
    <col min="12" max="12" width="5.85546875" style="9" customWidth="1"/>
    <col min="13" max="13" width="32.42578125" style="9" hidden="1" customWidth="1"/>
    <col min="14" max="14" width="11.42578125" style="9" hidden="1" customWidth="1"/>
    <col min="15" max="15" width="5.28515625" style="9" customWidth="1"/>
    <col min="16" max="16" width="10.140625" style="9" customWidth="1"/>
    <col min="17" max="17" width="4" style="73" customWidth="1"/>
    <col min="18" max="18" width="6.85546875" style="203" customWidth="1"/>
    <col min="19" max="19" width="2.28515625" style="9" customWidth="1"/>
    <col min="20" max="20" width="5.7109375" style="196" customWidth="1"/>
    <col min="21" max="16384" width="11.5703125" style="9"/>
  </cols>
  <sheetData>
    <row r="1" spans="1:22" ht="14.25">
      <c r="A1" s="8"/>
      <c r="B1" s="8"/>
      <c r="C1" s="8"/>
      <c r="D1" s="8"/>
      <c r="E1" s="8"/>
      <c r="F1" s="8"/>
      <c r="G1" s="8"/>
      <c r="H1" s="8"/>
      <c r="I1" s="8"/>
      <c r="J1" s="8"/>
      <c r="K1" s="312" t="s">
        <v>29</v>
      </c>
      <c r="L1" s="312"/>
      <c r="M1" s="9" t="str">
        <f ca="1">IF(K7&lt;DATE(YEAR(TODAY())-18,9,1),"Majeur","Mineur")</f>
        <v>Majeur</v>
      </c>
      <c r="O1" s="194"/>
      <c r="P1" s="282" t="s">
        <v>66</v>
      </c>
      <c r="Q1" s="203"/>
      <c r="S1" s="194"/>
      <c r="T1" s="11"/>
      <c r="U1" s="197"/>
      <c r="V1" s="11"/>
    </row>
    <row r="2" spans="1:22" ht="27" thickBot="1">
      <c r="A2" s="318" t="s">
        <v>17</v>
      </c>
      <c r="B2" s="318"/>
      <c r="C2" s="318"/>
      <c r="D2" s="318"/>
      <c r="E2" s="8"/>
      <c r="F2" s="8"/>
      <c r="G2" s="8"/>
      <c r="H2" s="8"/>
      <c r="I2" s="8"/>
      <c r="J2" s="8"/>
      <c r="K2" s="8"/>
      <c r="L2" s="8"/>
      <c r="M2" s="9" t="s">
        <v>30</v>
      </c>
      <c r="N2" s="9">
        <f ca="1">IF(M1="Majeur",(SUM(N3:N20)),(SUM(N3:N29)))</f>
        <v>18</v>
      </c>
      <c r="P2" s="194" t="str">
        <f>"Saison "&amp;VLOOKUP("Année",Paramètres,2,FALSE)</f>
        <v>Saison 2024/2025</v>
      </c>
      <c r="Q2" s="203"/>
      <c r="S2" s="194"/>
      <c r="T2" s="195"/>
      <c r="U2" s="194"/>
      <c r="V2" s="194"/>
    </row>
    <row r="3" spans="1:22" ht="13.5" thickTop="1">
      <c r="A3" s="8"/>
      <c r="B3" s="8"/>
      <c r="C3" s="8"/>
      <c r="D3" s="8"/>
      <c r="E3" s="8"/>
      <c r="F3" s="8"/>
      <c r="G3" s="8"/>
      <c r="H3" s="8"/>
      <c r="I3" s="8"/>
      <c r="J3" s="8"/>
      <c r="K3" s="8"/>
      <c r="L3" s="8"/>
      <c r="M3" s="9" t="s">
        <v>67</v>
      </c>
      <c r="N3" s="9">
        <f>IF(ISBLANK($B$7),1,0)</f>
        <v>1</v>
      </c>
      <c r="P3" s="285" t="s">
        <v>93</v>
      </c>
      <c r="Q3" s="263"/>
      <c r="R3" s="202">
        <f ca="1">$N$54-5</f>
        <v>2020</v>
      </c>
      <c r="S3" s="320" t="s">
        <v>278</v>
      </c>
      <c r="T3" s="320"/>
      <c r="U3" s="194"/>
    </row>
    <row r="4" spans="1:22" ht="15.75" thickBot="1">
      <c r="A4" s="313" t="s">
        <v>70</v>
      </c>
      <c r="B4" s="313"/>
      <c r="C4" s="313"/>
      <c r="D4" s="313"/>
      <c r="E4" s="313"/>
      <c r="F4" s="313"/>
      <c r="G4" s="313"/>
      <c r="H4" s="313"/>
      <c r="I4" s="313"/>
      <c r="J4" s="313"/>
      <c r="K4" s="8"/>
      <c r="L4" s="8"/>
      <c r="M4" s="9" t="s">
        <v>71</v>
      </c>
      <c r="N4" s="9">
        <f>IF(ISBLANK($D$7),1,0)</f>
        <v>1</v>
      </c>
      <c r="P4" s="286" t="s">
        <v>277</v>
      </c>
      <c r="Q4" s="283">
        <v>1</v>
      </c>
      <c r="R4" s="204">
        <f ca="1">$N$54-6</f>
        <v>2019</v>
      </c>
      <c r="T4" s="9"/>
      <c r="U4" s="194"/>
    </row>
    <row r="5" spans="1:22">
      <c r="A5" s="8"/>
      <c r="B5" s="8"/>
      <c r="C5" s="8"/>
      <c r="D5" s="8"/>
      <c r="E5" s="8"/>
      <c r="F5" s="8"/>
      <c r="G5" s="8"/>
      <c r="H5" s="8"/>
      <c r="I5" s="8"/>
      <c r="J5" s="8"/>
      <c r="K5" s="8"/>
      <c r="L5" s="8"/>
      <c r="M5" s="9" t="s">
        <v>73</v>
      </c>
      <c r="N5" s="9">
        <f>IF(ISBLANK($H$7),1,0)</f>
        <v>1</v>
      </c>
      <c r="P5" s="288"/>
      <c r="Q5" s="284">
        <v>2</v>
      </c>
      <c r="R5" s="202">
        <f ca="1">$N$54-7</f>
        <v>2018</v>
      </c>
      <c r="T5" s="9"/>
      <c r="U5" s="194"/>
    </row>
    <row r="6" spans="1:22" ht="15" thickBot="1">
      <c r="A6" s="20"/>
      <c r="B6" s="20" t="s">
        <v>67</v>
      </c>
      <c r="C6" s="20"/>
      <c r="D6" s="20" t="s">
        <v>71</v>
      </c>
      <c r="E6" s="20"/>
      <c r="F6" s="20"/>
      <c r="G6" s="20"/>
      <c r="H6" s="20" t="s">
        <v>73</v>
      </c>
      <c r="I6" s="20"/>
      <c r="J6" s="20"/>
      <c r="K6" s="48" t="s">
        <v>74</v>
      </c>
      <c r="L6" s="8"/>
      <c r="M6" s="9" t="s">
        <v>75</v>
      </c>
      <c r="N6" s="9">
        <f>IF(ISBLANK($K$7),1,0)</f>
        <v>1</v>
      </c>
      <c r="P6" s="286" t="s">
        <v>92</v>
      </c>
      <c r="Q6" s="284">
        <v>1</v>
      </c>
      <c r="R6" s="202">
        <f ca="1">$N$54-8</f>
        <v>2017</v>
      </c>
      <c r="T6" s="9"/>
      <c r="U6" s="194"/>
    </row>
    <row r="7" spans="1:22" ht="15" thickBot="1">
      <c r="A7" s="20"/>
      <c r="B7" s="52"/>
      <c r="C7" s="20"/>
      <c r="D7" s="316"/>
      <c r="E7" s="328"/>
      <c r="F7" s="317"/>
      <c r="G7" s="42"/>
      <c r="H7" s="316"/>
      <c r="I7" s="317"/>
      <c r="J7" s="20"/>
      <c r="K7" s="53"/>
      <c r="L7" s="8"/>
      <c r="M7" s="11" t="s">
        <v>76</v>
      </c>
      <c r="N7" s="9">
        <f>IF(ISBLANK($B$13),1,0)</f>
        <v>1</v>
      </c>
      <c r="P7" s="287"/>
      <c r="Q7" s="284">
        <v>2</v>
      </c>
      <c r="R7" s="202">
        <f ca="1">$N$54-9</f>
        <v>2016</v>
      </c>
      <c r="T7" s="9"/>
      <c r="U7" s="194"/>
    </row>
    <row r="8" spans="1:22" ht="13.5" customHeight="1">
      <c r="A8" s="20"/>
      <c r="B8" s="20"/>
      <c r="C8" s="20"/>
      <c r="D8" s="20"/>
      <c r="E8" s="20"/>
      <c r="F8" s="20"/>
      <c r="G8" s="20"/>
      <c r="H8" s="42"/>
      <c r="I8" s="42"/>
      <c r="J8" s="20"/>
      <c r="K8" s="128" t="s">
        <v>78</v>
      </c>
      <c r="L8" s="8"/>
      <c r="M8" s="9" t="s">
        <v>79</v>
      </c>
      <c r="N8" s="9">
        <f>IF(ISBLANK($B$16),1,0)</f>
        <v>1</v>
      </c>
      <c r="P8" s="286" t="s">
        <v>90</v>
      </c>
      <c r="Q8" s="284">
        <v>1</v>
      </c>
      <c r="R8" s="202">
        <f ca="1">$N$54-10</f>
        <v>2015</v>
      </c>
      <c r="T8" s="9"/>
      <c r="U8" s="194"/>
    </row>
    <row r="9" spans="1:22" ht="14.25" customHeight="1" thickBot="1">
      <c r="A9" s="20"/>
      <c r="B9" s="20" t="s">
        <v>260</v>
      </c>
      <c r="C9" s="8"/>
      <c r="D9" s="20" t="s">
        <v>261</v>
      </c>
      <c r="E9" s="20"/>
      <c r="F9" s="20"/>
      <c r="G9" s="20"/>
      <c r="H9" s="20" t="s">
        <v>259</v>
      </c>
      <c r="I9" s="20"/>
      <c r="J9" s="20"/>
      <c r="K9" s="8"/>
      <c r="L9" s="8"/>
      <c r="M9" s="9" t="s">
        <v>260</v>
      </c>
      <c r="N9" s="9">
        <f>IF(ISBLANK($B$10),1,0)</f>
        <v>1</v>
      </c>
      <c r="P9" s="287"/>
      <c r="Q9" s="284">
        <v>2</v>
      </c>
      <c r="R9" s="202">
        <f ca="1">$N$54-11</f>
        <v>2014</v>
      </c>
      <c r="T9" s="9"/>
      <c r="U9" s="194"/>
    </row>
    <row r="10" spans="1:22" ht="14.25" customHeight="1" thickBot="1">
      <c r="A10" s="20"/>
      <c r="B10" s="52"/>
      <c r="C10" s="257"/>
      <c r="D10" s="316"/>
      <c r="E10" s="317"/>
      <c r="F10" s="20"/>
      <c r="G10" s="20"/>
      <c r="H10" s="316"/>
      <c r="I10" s="328"/>
      <c r="J10" s="317"/>
      <c r="K10" s="8"/>
      <c r="L10" s="8"/>
      <c r="M10" s="9" t="s">
        <v>259</v>
      </c>
      <c r="N10" s="9">
        <f>IF(ISBLANK($H$10),1,0)</f>
        <v>1</v>
      </c>
      <c r="P10" s="286" t="s">
        <v>88</v>
      </c>
      <c r="Q10" s="284">
        <v>1</v>
      </c>
      <c r="R10" s="202">
        <f ca="1">$N$54-12</f>
        <v>2013</v>
      </c>
      <c r="T10" s="9"/>
      <c r="U10" s="194"/>
    </row>
    <row r="11" spans="1:22" ht="11.25" customHeight="1">
      <c r="A11" s="20"/>
      <c r="B11" s="20"/>
      <c r="C11" s="20"/>
      <c r="D11" s="20"/>
      <c r="E11" s="20"/>
      <c r="F11" s="20"/>
      <c r="G11" s="20"/>
      <c r="H11" s="42"/>
      <c r="I11" s="42"/>
      <c r="J11" s="20"/>
      <c r="K11" s="128"/>
      <c r="L11" s="8"/>
      <c r="M11" s="9" t="s">
        <v>261</v>
      </c>
      <c r="N11" s="9">
        <f>IF(ISBLANK($D$10),1,0)</f>
        <v>1</v>
      </c>
      <c r="P11" s="287"/>
      <c r="Q11" s="284">
        <v>2</v>
      </c>
      <c r="R11" s="202">
        <f ca="1">$N$54-13</f>
        <v>2012</v>
      </c>
      <c r="T11" s="9"/>
      <c r="U11" s="194"/>
    </row>
    <row r="12" spans="1:22" ht="15" thickBot="1">
      <c r="A12" s="20"/>
      <c r="B12" s="20" t="s">
        <v>76</v>
      </c>
      <c r="C12" s="20"/>
      <c r="D12" s="20"/>
      <c r="E12" s="20"/>
      <c r="F12" s="20"/>
      <c r="G12" s="20"/>
      <c r="H12" s="20"/>
      <c r="I12" s="20"/>
      <c r="J12" s="20"/>
      <c r="K12" s="20"/>
      <c r="L12" s="8"/>
      <c r="M12" s="9" t="s">
        <v>81</v>
      </c>
      <c r="N12" s="9">
        <f>IF(ISBLANK($D$16),1,0)</f>
        <v>1</v>
      </c>
      <c r="P12" s="286" t="s">
        <v>85</v>
      </c>
      <c r="Q12" s="284">
        <v>1</v>
      </c>
      <c r="R12" s="202">
        <f ca="1">$N$54-14</f>
        <v>2011</v>
      </c>
      <c r="T12" s="9"/>
      <c r="U12" s="194"/>
    </row>
    <row r="13" spans="1:22" ht="15" thickBot="1">
      <c r="A13" s="20"/>
      <c r="B13" s="316"/>
      <c r="C13" s="328"/>
      <c r="D13" s="328"/>
      <c r="E13" s="328"/>
      <c r="F13" s="328"/>
      <c r="G13" s="328"/>
      <c r="H13" s="328"/>
      <c r="I13" s="328"/>
      <c r="J13" s="328"/>
      <c r="K13" s="317"/>
      <c r="L13" s="8"/>
      <c r="M13" s="9" t="s">
        <v>82</v>
      </c>
      <c r="N13" s="9">
        <f>IF(ISBLANK($B$19),1,0)</f>
        <v>1</v>
      </c>
      <c r="P13" s="287"/>
      <c r="Q13" s="284">
        <v>2</v>
      </c>
      <c r="R13" s="202">
        <f ca="1">$N$54-15</f>
        <v>2010</v>
      </c>
      <c r="T13" s="9"/>
      <c r="U13" s="194"/>
    </row>
    <row r="14" spans="1:22" ht="11.25" customHeight="1">
      <c r="A14" s="20"/>
      <c r="B14" s="20"/>
      <c r="C14" s="20"/>
      <c r="D14" s="20"/>
      <c r="E14" s="20"/>
      <c r="F14" s="20"/>
      <c r="G14" s="20"/>
      <c r="H14" s="20"/>
      <c r="I14" s="20"/>
      <c r="J14" s="20"/>
      <c r="K14" s="20"/>
      <c r="L14" s="8"/>
      <c r="M14" s="9" t="s">
        <v>67</v>
      </c>
      <c r="N14" s="9">
        <f>IF(ISBLANK($B$38),1,0)</f>
        <v>1</v>
      </c>
      <c r="P14" s="286" t="s">
        <v>83</v>
      </c>
      <c r="Q14" s="284">
        <v>1</v>
      </c>
      <c r="R14" s="202">
        <f ca="1">$N$54-16</f>
        <v>2009</v>
      </c>
      <c r="T14" s="9"/>
      <c r="U14" s="194"/>
    </row>
    <row r="15" spans="1:22" ht="12.75" customHeight="1" thickBot="1">
      <c r="A15" s="20"/>
      <c r="B15" s="20" t="s">
        <v>79</v>
      </c>
      <c r="C15" s="20"/>
      <c r="D15" s="20" t="s">
        <v>81</v>
      </c>
      <c r="E15" s="20"/>
      <c r="F15" s="20"/>
      <c r="G15" s="20"/>
      <c r="H15" s="8"/>
      <c r="I15" s="8"/>
      <c r="J15" s="20"/>
      <c r="K15" s="8"/>
      <c r="L15" s="8"/>
      <c r="M15" s="9" t="s">
        <v>84</v>
      </c>
      <c r="N15" s="9">
        <f>IF(ISBLANK($K$45),1,0)</f>
        <v>1</v>
      </c>
      <c r="P15" s="287"/>
      <c r="Q15" s="284">
        <v>2</v>
      </c>
      <c r="R15" s="202">
        <f ca="1">$N$54-17</f>
        <v>2008</v>
      </c>
      <c r="T15" s="9"/>
      <c r="U15" s="194"/>
    </row>
    <row r="16" spans="1:22" ht="15" customHeight="1" thickBot="1">
      <c r="A16" s="20"/>
      <c r="B16" s="54"/>
      <c r="C16" s="20"/>
      <c r="D16" s="332"/>
      <c r="E16" s="333"/>
      <c r="F16" s="334"/>
      <c r="G16" s="20"/>
      <c r="H16" s="8"/>
      <c r="I16" s="8"/>
      <c r="J16" s="20"/>
      <c r="K16" s="8"/>
      <c r="L16" s="8"/>
      <c r="M16" s="9" t="s">
        <v>71</v>
      </c>
      <c r="N16" s="9">
        <f>IF(ISBLANK($D$38),1,0)</f>
        <v>1</v>
      </c>
      <c r="P16" s="286" t="s">
        <v>80</v>
      </c>
      <c r="Q16" s="284">
        <v>1</v>
      </c>
      <c r="R16" s="202">
        <f ca="1">$N$54-18</f>
        <v>2007</v>
      </c>
      <c r="T16" s="9"/>
      <c r="U16" s="194"/>
    </row>
    <row r="17" spans="1:22" ht="12" customHeight="1">
      <c r="A17" s="20"/>
      <c r="B17" s="20"/>
      <c r="C17" s="20"/>
      <c r="D17" s="20"/>
      <c r="E17" s="20"/>
      <c r="F17" s="20"/>
      <c r="G17" s="20"/>
      <c r="H17" s="20"/>
      <c r="I17" s="20"/>
      <c r="J17" s="20"/>
      <c r="K17" s="20"/>
      <c r="L17" s="8"/>
      <c r="M17" s="9" t="s">
        <v>73</v>
      </c>
      <c r="N17" s="9">
        <f>IF(ISBLANK($H$38),1,0)</f>
        <v>1</v>
      </c>
      <c r="P17" s="289"/>
      <c r="Q17" s="284">
        <v>2</v>
      </c>
      <c r="R17" s="202">
        <f ca="1">$N$54-19</f>
        <v>2006</v>
      </c>
      <c r="T17" s="9"/>
      <c r="U17" s="194"/>
    </row>
    <row r="18" spans="1:22" ht="15" thickBot="1">
      <c r="A18" s="20"/>
      <c r="B18" s="20" t="s">
        <v>82</v>
      </c>
      <c r="C18" s="20"/>
      <c r="D18" s="20"/>
      <c r="E18" s="20"/>
      <c r="F18" s="20"/>
      <c r="G18" s="20"/>
      <c r="H18" s="20" t="s">
        <v>86</v>
      </c>
      <c r="I18" s="42"/>
      <c r="J18" s="20"/>
      <c r="K18" s="42"/>
      <c r="L18" s="8"/>
      <c r="M18" s="9" t="s">
        <v>87</v>
      </c>
      <c r="N18" s="9">
        <f>IF(ISBLANK($B$41),1,0)</f>
        <v>1</v>
      </c>
      <c r="P18" s="287"/>
      <c r="Q18" s="284">
        <v>3</v>
      </c>
      <c r="R18" s="202">
        <f ca="1">$N$54-20</f>
        <v>2005</v>
      </c>
      <c r="T18" s="9"/>
      <c r="U18" s="194"/>
    </row>
    <row r="19" spans="1:22" ht="15" thickBot="1">
      <c r="A19" s="20"/>
      <c r="B19" s="329"/>
      <c r="C19" s="330"/>
      <c r="D19" s="330"/>
      <c r="E19" s="330"/>
      <c r="F19" s="331"/>
      <c r="G19" s="20"/>
      <c r="H19" s="325"/>
      <c r="I19" s="327"/>
      <c r="J19" s="42"/>
      <c r="K19" s="20"/>
      <c r="L19" s="8"/>
      <c r="M19" s="9" t="s">
        <v>89</v>
      </c>
      <c r="N19" s="9">
        <f>IF(ISBLANK($E$45),1,0)</f>
        <v>1</v>
      </c>
      <c r="P19" s="200" t="s">
        <v>225</v>
      </c>
      <c r="Q19" s="284"/>
      <c r="R19" s="202">
        <f ca="1">N54-21</f>
        <v>2004</v>
      </c>
      <c r="S19" s="201" t="s">
        <v>77</v>
      </c>
      <c r="T19" s="205" t="s">
        <v>69</v>
      </c>
      <c r="U19" s="194"/>
    </row>
    <row r="20" spans="1:22">
      <c r="A20" s="8"/>
      <c r="B20" s="13"/>
      <c r="C20" s="8"/>
      <c r="D20" s="8"/>
      <c r="E20" s="8"/>
      <c r="F20" s="13"/>
      <c r="G20" s="8"/>
      <c r="H20" s="13"/>
      <c r="I20" s="13"/>
      <c r="J20" s="8"/>
      <c r="K20" s="8"/>
      <c r="L20" s="8"/>
      <c r="M20" s="9" t="s">
        <v>255</v>
      </c>
      <c r="N20" s="9">
        <f>IF(ISBLANK($I$47),1,0)</f>
        <v>1</v>
      </c>
      <c r="P20" s="286" t="s">
        <v>224</v>
      </c>
      <c r="Q20" s="283">
        <v>1</v>
      </c>
      <c r="R20" s="202">
        <f ca="1">$N$54-40</f>
        <v>1985</v>
      </c>
      <c r="S20" s="201" t="s">
        <v>72</v>
      </c>
      <c r="T20" s="205">
        <f ca="1">$N$54-49</f>
        <v>1976</v>
      </c>
      <c r="U20" s="194"/>
    </row>
    <row r="21" spans="1:22" ht="15.75" thickBot="1">
      <c r="A21" s="313" t="s">
        <v>91</v>
      </c>
      <c r="B21" s="313"/>
      <c r="C21" s="313"/>
      <c r="D21" s="313"/>
      <c r="E21" s="313"/>
      <c r="F21" s="313"/>
      <c r="G21" s="313"/>
      <c r="H21" s="313"/>
      <c r="I21" s="313"/>
      <c r="J21" s="313"/>
      <c r="K21" s="8"/>
      <c r="L21" s="8"/>
      <c r="P21" s="289"/>
      <c r="Q21" s="284">
        <v>2</v>
      </c>
      <c r="R21" s="202">
        <f ca="1">$N$54-50</f>
        <v>1975</v>
      </c>
      <c r="S21" s="201" t="s">
        <v>72</v>
      </c>
      <c r="T21" s="205">
        <f ca="1">$N$54-59</f>
        <v>1966</v>
      </c>
      <c r="U21" s="194"/>
    </row>
    <row r="22" spans="1:22">
      <c r="A22" s="8"/>
      <c r="B22" s="13"/>
      <c r="C22" s="8"/>
      <c r="D22" s="8"/>
      <c r="E22" s="8"/>
      <c r="F22" s="13"/>
      <c r="G22" s="8"/>
      <c r="H22" s="13"/>
      <c r="I22" s="13"/>
      <c r="J22" s="8"/>
      <c r="K22" s="8"/>
      <c r="L22" s="8"/>
      <c r="P22" s="289"/>
      <c r="Q22" s="284">
        <v>3</v>
      </c>
      <c r="R22" s="202">
        <f ca="1">$N$54-60</f>
        <v>1965</v>
      </c>
      <c r="S22" s="201" t="s">
        <v>72</v>
      </c>
      <c r="T22" s="205">
        <f ca="1">$N$54-69</f>
        <v>1956</v>
      </c>
      <c r="U22" s="194"/>
    </row>
    <row r="23" spans="1:22" ht="15" thickBot="1">
      <c r="A23" s="20"/>
      <c r="B23" s="20" t="s">
        <v>67</v>
      </c>
      <c r="C23" s="20"/>
      <c r="D23" s="20" t="s">
        <v>71</v>
      </c>
      <c r="E23" s="20"/>
      <c r="F23" s="20"/>
      <c r="G23" s="20"/>
      <c r="H23" s="20" t="s">
        <v>73</v>
      </c>
      <c r="I23" s="20"/>
      <c r="J23" s="20"/>
      <c r="K23" s="8"/>
      <c r="L23" s="8"/>
      <c r="M23" s="9" t="s">
        <v>67</v>
      </c>
      <c r="N23" s="9">
        <f>IF($B$24="",1,0)</f>
        <v>1</v>
      </c>
      <c r="P23" s="287"/>
      <c r="Q23" s="284">
        <v>4</v>
      </c>
      <c r="R23" s="202">
        <f ca="1">$N$54-70</f>
        <v>1955</v>
      </c>
      <c r="S23" s="201" t="s">
        <v>68</v>
      </c>
      <c r="T23" s="205" t="s">
        <v>69</v>
      </c>
      <c r="U23" s="194"/>
    </row>
    <row r="24" spans="1:22" ht="15" thickBot="1">
      <c r="A24" s="20"/>
      <c r="B24" s="103"/>
      <c r="C24" s="20"/>
      <c r="D24" s="316" t="str">
        <f ca="1">IF($M$1="Majeur","Ne pas remplir","")</f>
        <v>Ne pas remplir</v>
      </c>
      <c r="E24" s="328"/>
      <c r="F24" s="317"/>
      <c r="G24" s="42"/>
      <c r="H24" s="316" t="str">
        <f ca="1">IF($M$1="Majeur","Ne pas remplir","")</f>
        <v>Ne pas remplir</v>
      </c>
      <c r="I24" s="317"/>
      <c r="J24" s="20"/>
      <c r="K24" s="8"/>
      <c r="L24" s="8"/>
      <c r="M24" s="9" t="s">
        <v>71</v>
      </c>
      <c r="N24" s="9">
        <f ca="1">IF($D$24="",1,0)</f>
        <v>0</v>
      </c>
      <c r="Q24" s="9"/>
      <c r="R24" s="9"/>
      <c r="S24" s="194"/>
      <c r="T24" s="195"/>
      <c r="U24" s="194"/>
      <c r="V24" s="194"/>
    </row>
    <row r="25" spans="1:22" ht="10.5" customHeight="1">
      <c r="A25" s="20"/>
      <c r="B25" s="20"/>
      <c r="C25" s="20"/>
      <c r="D25" s="20"/>
      <c r="E25" s="20"/>
      <c r="F25" s="20"/>
      <c r="G25" s="20"/>
      <c r="H25" s="42"/>
      <c r="I25" s="42"/>
      <c r="J25" s="20"/>
      <c r="K25" s="8"/>
      <c r="L25" s="8"/>
      <c r="M25" s="9" t="s">
        <v>73</v>
      </c>
      <c r="N25" s="9">
        <f ca="1">IF($H$24="",1,0)</f>
        <v>0</v>
      </c>
      <c r="P25" s="282" t="s">
        <v>66</v>
      </c>
      <c r="Q25" s="203"/>
      <c r="S25" s="194"/>
      <c r="T25" s="11"/>
      <c r="U25" s="194"/>
      <c r="V25" s="194"/>
    </row>
    <row r="26" spans="1:22" ht="15" thickBot="1">
      <c r="A26" s="20"/>
      <c r="B26" s="20" t="s">
        <v>76</v>
      </c>
      <c r="C26" s="20"/>
      <c r="D26" s="20"/>
      <c r="E26" s="20"/>
      <c r="F26" s="20"/>
      <c r="G26" s="20"/>
      <c r="H26" s="20"/>
      <c r="I26" s="20"/>
      <c r="J26" s="20"/>
      <c r="K26" s="20"/>
      <c r="L26" s="8"/>
      <c r="M26" s="11" t="s">
        <v>76</v>
      </c>
      <c r="N26" s="9">
        <f ca="1">IF($B$27="",1,0)</f>
        <v>0</v>
      </c>
      <c r="P26" s="194" t="str">
        <f>"Saison "&amp;VLOOKUP("Année à venir",Paramètres,2,FALSE)</f>
        <v>Saison 2025/2026</v>
      </c>
      <c r="Q26" s="203"/>
      <c r="S26" s="194"/>
      <c r="T26" s="195"/>
      <c r="U26" s="194"/>
      <c r="V26" s="194"/>
    </row>
    <row r="27" spans="1:22" ht="15" thickBot="1">
      <c r="A27" s="20"/>
      <c r="B27" s="316" t="str">
        <f ca="1">IF($M$1="Majeur","Ne pas remplir","")</f>
        <v>Ne pas remplir</v>
      </c>
      <c r="C27" s="328"/>
      <c r="D27" s="328"/>
      <c r="E27" s="328"/>
      <c r="F27" s="328"/>
      <c r="G27" s="328"/>
      <c r="H27" s="328"/>
      <c r="I27" s="328"/>
      <c r="J27" s="328"/>
      <c r="K27" s="317"/>
      <c r="L27" s="8"/>
      <c r="M27" s="9" t="s">
        <v>79</v>
      </c>
      <c r="N27" s="9">
        <f ca="1">IF($B$30="",1,0)</f>
        <v>0</v>
      </c>
      <c r="P27" s="285" t="s">
        <v>93</v>
      </c>
      <c r="Q27" s="263"/>
      <c r="R27" s="280">
        <f ca="1">R3+1</f>
        <v>2021</v>
      </c>
      <c r="S27" s="320" t="s">
        <v>278</v>
      </c>
      <c r="T27" s="320"/>
      <c r="U27" s="194"/>
      <c r="V27" s="194"/>
    </row>
    <row r="28" spans="1:22" ht="11.25" customHeight="1">
      <c r="A28" s="20"/>
      <c r="B28" s="20"/>
      <c r="C28" s="20"/>
      <c r="D28" s="20"/>
      <c r="E28" s="20"/>
      <c r="F28" s="20"/>
      <c r="G28" s="20"/>
      <c r="H28" s="20"/>
      <c r="I28" s="20"/>
      <c r="J28" s="20"/>
      <c r="K28" s="20"/>
      <c r="L28" s="8"/>
      <c r="M28" s="9" t="s">
        <v>81</v>
      </c>
      <c r="N28" s="9">
        <f ca="1">IF($D$30="",1,0)</f>
        <v>0</v>
      </c>
      <c r="P28" s="286" t="s">
        <v>277</v>
      </c>
      <c r="Q28" s="283">
        <v>1</v>
      </c>
      <c r="R28" s="280">
        <f t="shared" ref="R28:R41" ca="1" si="0">R4+1</f>
        <v>2020</v>
      </c>
      <c r="T28" s="9"/>
      <c r="U28" s="194"/>
      <c r="V28" s="194"/>
    </row>
    <row r="29" spans="1:22" ht="12.75" customHeight="1" thickBot="1">
      <c r="A29" s="20"/>
      <c r="B29" s="20" t="s">
        <v>79</v>
      </c>
      <c r="C29" s="20"/>
      <c r="D29" s="20" t="s">
        <v>81</v>
      </c>
      <c r="E29" s="20"/>
      <c r="F29" s="20"/>
      <c r="G29" s="20"/>
      <c r="H29" s="20"/>
      <c r="I29" s="20"/>
      <c r="J29" s="20"/>
      <c r="K29" s="20"/>
      <c r="L29" s="8"/>
      <c r="M29" s="9" t="s">
        <v>82</v>
      </c>
      <c r="N29" s="9">
        <f ca="1">IF($B$33="",1,0)</f>
        <v>0</v>
      </c>
      <c r="P29" s="288"/>
      <c r="Q29" s="284">
        <v>2</v>
      </c>
      <c r="R29" s="280">
        <f t="shared" ca="1" si="0"/>
        <v>2019</v>
      </c>
      <c r="T29" s="9"/>
      <c r="U29" s="194"/>
      <c r="V29" s="194"/>
    </row>
    <row r="30" spans="1:22" ht="15" customHeight="1" thickBot="1">
      <c r="A30" s="20"/>
      <c r="B30" s="188" t="str">
        <f ca="1">IF(M1="Majeur","ne pas remplir","")</f>
        <v>ne pas remplir</v>
      </c>
      <c r="C30" s="20"/>
      <c r="D30" s="332" t="str">
        <f ca="1">IF($M$1="Majeur","Ne pas remplir","")</f>
        <v>Ne pas remplir</v>
      </c>
      <c r="E30" s="333"/>
      <c r="F30" s="334"/>
      <c r="G30" s="20"/>
      <c r="H30" s="20"/>
      <c r="I30" s="20"/>
      <c r="J30" s="20"/>
      <c r="K30" s="20"/>
      <c r="L30" s="8"/>
      <c r="P30" s="286" t="s">
        <v>92</v>
      </c>
      <c r="Q30" s="284">
        <v>1</v>
      </c>
      <c r="R30" s="280">
        <f t="shared" ca="1" si="0"/>
        <v>2018</v>
      </c>
      <c r="T30" s="9"/>
      <c r="U30" s="194"/>
      <c r="V30" s="194"/>
    </row>
    <row r="31" spans="1:22" ht="9.75" customHeight="1">
      <c r="A31" s="20"/>
      <c r="B31" s="20"/>
      <c r="C31" s="20"/>
      <c r="D31" s="20"/>
      <c r="E31" s="20"/>
      <c r="F31" s="20"/>
      <c r="G31" s="20"/>
      <c r="H31" s="20"/>
      <c r="I31" s="20"/>
      <c r="J31" s="20"/>
      <c r="K31" s="20"/>
      <c r="L31" s="8"/>
      <c r="P31" s="287"/>
      <c r="Q31" s="284">
        <v>2</v>
      </c>
      <c r="R31" s="280">
        <f t="shared" ca="1" si="0"/>
        <v>2017</v>
      </c>
      <c r="T31" s="9"/>
      <c r="U31" s="194"/>
      <c r="V31" s="194"/>
    </row>
    <row r="32" spans="1:22" ht="15" thickBot="1">
      <c r="A32" s="20"/>
      <c r="B32" s="20" t="s">
        <v>82</v>
      </c>
      <c r="C32" s="20"/>
      <c r="D32" s="20"/>
      <c r="E32" s="20"/>
      <c r="F32" s="20"/>
      <c r="G32" s="20"/>
      <c r="H32" s="20" t="s">
        <v>86</v>
      </c>
      <c r="I32" s="42"/>
      <c r="J32" s="20"/>
      <c r="K32" s="20"/>
      <c r="L32" s="8"/>
      <c r="P32" s="286" t="s">
        <v>90</v>
      </c>
      <c r="Q32" s="284">
        <v>1</v>
      </c>
      <c r="R32" s="280">
        <f t="shared" ca="1" si="0"/>
        <v>2016</v>
      </c>
      <c r="T32" s="9"/>
      <c r="U32" s="194"/>
      <c r="V32" s="194"/>
    </row>
    <row r="33" spans="1:22" ht="15" thickBot="1">
      <c r="A33" s="20"/>
      <c r="B33" s="346" t="str">
        <f ca="1">IF(M1="Majeur","Ne pas remplir","")</f>
        <v>Ne pas remplir</v>
      </c>
      <c r="C33" s="347"/>
      <c r="D33" s="347"/>
      <c r="E33" s="347"/>
      <c r="F33" s="348"/>
      <c r="G33" s="20"/>
      <c r="H33" s="325"/>
      <c r="I33" s="327"/>
      <c r="J33" s="42"/>
      <c r="K33" s="20"/>
      <c r="L33" s="8"/>
      <c r="P33" s="287"/>
      <c r="Q33" s="284">
        <v>2</v>
      </c>
      <c r="R33" s="280">
        <f t="shared" ca="1" si="0"/>
        <v>2015</v>
      </c>
      <c r="T33" s="9"/>
      <c r="U33" s="194"/>
      <c r="V33" s="194"/>
    </row>
    <row r="34" spans="1:22">
      <c r="A34" s="8"/>
      <c r="B34" s="13"/>
      <c r="C34" s="8"/>
      <c r="D34" s="8"/>
      <c r="E34" s="8"/>
      <c r="F34" s="13"/>
      <c r="G34" s="8"/>
      <c r="H34" s="13"/>
      <c r="I34" s="13"/>
      <c r="J34" s="8"/>
      <c r="K34" s="8"/>
      <c r="L34" s="8"/>
      <c r="P34" s="286" t="s">
        <v>88</v>
      </c>
      <c r="Q34" s="284">
        <v>1</v>
      </c>
      <c r="R34" s="280">
        <f t="shared" ca="1" si="0"/>
        <v>2014</v>
      </c>
      <c r="T34" s="9"/>
      <c r="U34" s="194"/>
      <c r="V34" s="194"/>
    </row>
    <row r="35" spans="1:22" ht="15.75" thickBot="1">
      <c r="A35" s="313" t="s">
        <v>94</v>
      </c>
      <c r="B35" s="313"/>
      <c r="C35" s="313"/>
      <c r="D35" s="313"/>
      <c r="E35" s="313"/>
      <c r="F35" s="313"/>
      <c r="G35" s="313"/>
      <c r="H35" s="313"/>
      <c r="I35" s="313"/>
      <c r="J35" s="313"/>
      <c r="K35" s="8"/>
      <c r="L35" s="8"/>
      <c r="M35" s="9" t="s">
        <v>95</v>
      </c>
      <c r="N35" s="9">
        <f>SUM(N36:N42)</f>
        <v>3</v>
      </c>
      <c r="P35" s="287"/>
      <c r="Q35" s="284">
        <v>2</v>
      </c>
      <c r="R35" s="280">
        <f t="shared" ca="1" si="0"/>
        <v>2013</v>
      </c>
      <c r="T35" s="9"/>
      <c r="U35" s="194"/>
      <c r="V35" s="194"/>
    </row>
    <row r="36" spans="1:22">
      <c r="A36" s="8"/>
      <c r="B36" s="8"/>
      <c r="C36" s="8"/>
      <c r="D36" s="8"/>
      <c r="E36" s="8"/>
      <c r="F36" s="8"/>
      <c r="G36" s="8"/>
      <c r="H36" s="8"/>
      <c r="I36" s="8"/>
      <c r="J36" s="8"/>
      <c r="K36" s="8"/>
      <c r="L36" s="8"/>
      <c r="P36" s="286" t="s">
        <v>85</v>
      </c>
      <c r="Q36" s="284">
        <v>1</v>
      </c>
      <c r="R36" s="280">
        <f t="shared" ca="1" si="0"/>
        <v>2012</v>
      </c>
      <c r="T36" s="9"/>
      <c r="U36" s="194"/>
      <c r="V36" s="194"/>
    </row>
    <row r="37" spans="1:22" ht="15" thickBot="1">
      <c r="A37" s="20"/>
      <c r="B37" s="20" t="s">
        <v>67</v>
      </c>
      <c r="C37" s="20"/>
      <c r="D37" s="20" t="s">
        <v>71</v>
      </c>
      <c r="E37" s="20"/>
      <c r="F37" s="20"/>
      <c r="G37" s="20"/>
      <c r="H37" s="20" t="s">
        <v>73</v>
      </c>
      <c r="I37" s="20"/>
      <c r="J37" s="20"/>
      <c r="K37" s="20"/>
      <c r="L37" s="8"/>
      <c r="M37" s="9" t="s">
        <v>86</v>
      </c>
      <c r="N37" s="9">
        <f>IF(ISBLANK($H$19),1,0)</f>
        <v>1</v>
      </c>
      <c r="P37" s="287"/>
      <c r="Q37" s="284">
        <v>2</v>
      </c>
      <c r="R37" s="280">
        <f t="shared" ca="1" si="0"/>
        <v>2011</v>
      </c>
      <c r="T37" s="9"/>
      <c r="U37" s="194"/>
      <c r="V37" s="194"/>
    </row>
    <row r="38" spans="1:22" ht="15" thickBot="1">
      <c r="A38" s="20"/>
      <c r="B38" s="52"/>
      <c r="C38" s="20"/>
      <c r="D38" s="316"/>
      <c r="E38" s="328"/>
      <c r="F38" s="317"/>
      <c r="G38" s="42"/>
      <c r="H38" s="316"/>
      <c r="I38" s="317"/>
      <c r="J38" s="20"/>
      <c r="K38" s="20"/>
      <c r="L38" s="8"/>
      <c r="M38" s="9" t="s">
        <v>96</v>
      </c>
      <c r="N38" s="9">
        <f>IF(ISBLANK($F$41),1,0)</f>
        <v>1</v>
      </c>
      <c r="P38" s="286" t="s">
        <v>83</v>
      </c>
      <c r="Q38" s="284">
        <v>1</v>
      </c>
      <c r="R38" s="280">
        <f t="shared" ca="1" si="0"/>
        <v>2010</v>
      </c>
      <c r="T38" s="9"/>
      <c r="U38" s="194"/>
      <c r="V38" s="194"/>
    </row>
    <row r="39" spans="1:22" ht="9" customHeight="1">
      <c r="A39" s="20"/>
      <c r="B39" s="20"/>
      <c r="C39" s="20"/>
      <c r="D39" s="20"/>
      <c r="E39" s="20"/>
      <c r="F39" s="20"/>
      <c r="G39" s="20"/>
      <c r="H39" s="20"/>
      <c r="I39" s="20"/>
      <c r="J39" s="20"/>
      <c r="K39" s="20"/>
      <c r="L39" s="8"/>
      <c r="M39" s="9" t="s">
        <v>97</v>
      </c>
      <c r="N39" s="9">
        <f>IF(ISBLANK($H$33),1,0)</f>
        <v>1</v>
      </c>
      <c r="P39" s="287"/>
      <c r="Q39" s="284">
        <v>2</v>
      </c>
      <c r="R39" s="280">
        <f t="shared" ca="1" si="0"/>
        <v>2009</v>
      </c>
      <c r="T39" s="9"/>
      <c r="U39" s="194"/>
      <c r="V39" s="194"/>
    </row>
    <row r="40" spans="1:22" ht="15" thickBot="1">
      <c r="A40" s="20"/>
      <c r="B40" s="20" t="s">
        <v>87</v>
      </c>
      <c r="C40" s="42"/>
      <c r="D40" s="20"/>
      <c r="E40" s="20"/>
      <c r="F40" s="20" t="s">
        <v>96</v>
      </c>
      <c r="G40" s="42"/>
      <c r="H40" s="20"/>
      <c r="I40" s="20"/>
      <c r="J40" s="20"/>
      <c r="K40" s="20"/>
      <c r="L40" s="8"/>
      <c r="P40" s="286" t="s">
        <v>80</v>
      </c>
      <c r="Q40" s="284">
        <v>1</v>
      </c>
      <c r="R40" s="280">
        <f t="shared" ca="1" si="0"/>
        <v>2008</v>
      </c>
      <c r="T40" s="9"/>
      <c r="U40" s="194"/>
      <c r="V40" s="194"/>
    </row>
    <row r="41" spans="1:22" ht="15" thickBot="1">
      <c r="A41" s="20"/>
      <c r="B41" s="322"/>
      <c r="C41" s="323"/>
      <c r="D41" s="324"/>
      <c r="E41" s="20"/>
      <c r="F41" s="325"/>
      <c r="G41" s="326"/>
      <c r="H41" s="327"/>
      <c r="I41" s="42"/>
      <c r="J41" s="20"/>
      <c r="K41" s="20"/>
      <c r="L41" s="8"/>
      <c r="M41" s="9" t="s">
        <v>98</v>
      </c>
      <c r="N41" s="9">
        <f>IF(ISBLANK($B$53),1,0)</f>
        <v>0</v>
      </c>
      <c r="P41" s="289"/>
      <c r="Q41" s="284">
        <v>2</v>
      </c>
      <c r="R41" s="280">
        <f t="shared" ca="1" si="0"/>
        <v>2007</v>
      </c>
      <c r="T41" s="9"/>
      <c r="U41" s="194"/>
      <c r="V41" s="194"/>
    </row>
    <row r="42" spans="1:22">
      <c r="A42" s="8"/>
      <c r="B42" s="8"/>
      <c r="C42" s="8"/>
      <c r="D42" s="8"/>
      <c r="E42" s="8"/>
      <c r="F42" s="8"/>
      <c r="G42" s="8"/>
      <c r="H42" s="13"/>
      <c r="I42" s="8"/>
      <c r="J42" s="8"/>
      <c r="K42" s="8"/>
      <c r="L42" s="8"/>
      <c r="P42" s="287"/>
      <c r="Q42" s="284">
        <v>3</v>
      </c>
      <c r="R42" s="280">
        <f ca="1">R18+1</f>
        <v>2006</v>
      </c>
      <c r="T42" s="9"/>
      <c r="U42" s="194"/>
      <c r="V42" s="194"/>
    </row>
    <row r="43" spans="1:22" ht="15.75" thickBot="1">
      <c r="A43" s="313" t="s">
        <v>99</v>
      </c>
      <c r="B43" s="313"/>
      <c r="C43" s="313"/>
      <c r="D43" s="313"/>
      <c r="E43" s="313"/>
      <c r="F43" s="313"/>
      <c r="G43" s="313"/>
      <c r="H43" s="313"/>
      <c r="I43" s="313"/>
      <c r="J43" s="313"/>
      <c r="K43" s="8"/>
      <c r="L43" s="8"/>
      <c r="P43" s="200" t="s">
        <v>225</v>
      </c>
      <c r="Q43" s="284"/>
      <c r="R43" s="280">
        <f ca="1">R19+1</f>
        <v>2005</v>
      </c>
      <c r="S43" s="201" t="s">
        <v>77</v>
      </c>
      <c r="T43" s="205" t="s">
        <v>69</v>
      </c>
      <c r="U43" s="194"/>
      <c r="V43" s="194"/>
    </row>
    <row r="44" spans="1:22" ht="13.5" thickBot="1">
      <c r="A44" s="8"/>
      <c r="B44" s="8"/>
      <c r="C44" s="8"/>
      <c r="D44" s="8"/>
      <c r="E44" s="8"/>
      <c r="F44" s="8"/>
      <c r="G44" s="8"/>
      <c r="H44" s="8"/>
      <c r="I44" s="8"/>
      <c r="J44" s="8"/>
      <c r="K44" s="8"/>
      <c r="L44" s="8"/>
      <c r="P44" s="286" t="s">
        <v>224</v>
      </c>
      <c r="Q44" s="283">
        <v>1</v>
      </c>
      <c r="R44" s="280">
        <f t="shared" ref="R44:R47" ca="1" si="1">R20+1</f>
        <v>1986</v>
      </c>
      <c r="S44" s="201" t="s">
        <v>72</v>
      </c>
      <c r="T44" s="205">
        <f ca="1">T20+1</f>
        <v>1977</v>
      </c>
      <c r="U44" s="194"/>
      <c r="V44" s="194"/>
    </row>
    <row r="45" spans="1:22" ht="15" thickBot="1">
      <c r="A45" s="20"/>
      <c r="B45" s="344" t="s">
        <v>100</v>
      </c>
      <c r="C45" s="344"/>
      <c r="D45" s="345"/>
      <c r="E45" s="103"/>
      <c r="F45" s="20"/>
      <c r="G45" s="8"/>
      <c r="H45" s="45" t="s">
        <v>280</v>
      </c>
      <c r="I45" s="45"/>
      <c r="J45" s="20"/>
      <c r="K45" s="103"/>
      <c r="L45" s="8"/>
      <c r="M45" s="9" t="s">
        <v>74</v>
      </c>
      <c r="N45" s="11">
        <f>$K$7</f>
        <v>0</v>
      </c>
      <c r="P45" s="289"/>
      <c r="Q45" s="284">
        <v>2</v>
      </c>
      <c r="R45" s="280">
        <f t="shared" ca="1" si="1"/>
        <v>1976</v>
      </c>
      <c r="S45" s="201" t="s">
        <v>72</v>
      </c>
      <c r="T45" s="205">
        <f t="shared" ref="T45:T46" ca="1" si="2">T21+1</f>
        <v>1967</v>
      </c>
      <c r="U45" s="194"/>
      <c r="V45" s="194"/>
    </row>
    <row r="46" spans="1:22" ht="15" thickBot="1">
      <c r="A46" s="20"/>
      <c r="B46" s="20"/>
      <c r="C46" s="20"/>
      <c r="D46" s="20"/>
      <c r="E46" s="20"/>
      <c r="F46" s="20"/>
      <c r="G46" s="8"/>
      <c r="H46" s="8"/>
      <c r="I46" s="13"/>
      <c r="J46" s="13"/>
      <c r="K46" s="253"/>
      <c r="L46" s="8"/>
      <c r="M46" s="9" t="s">
        <v>101</v>
      </c>
      <c r="N46" s="9">
        <f>YEAR($N$45)</f>
        <v>1900</v>
      </c>
      <c r="P46" s="289"/>
      <c r="Q46" s="284">
        <v>3</v>
      </c>
      <c r="R46" s="280">
        <f t="shared" ca="1" si="1"/>
        <v>1966</v>
      </c>
      <c r="S46" s="201" t="s">
        <v>72</v>
      </c>
      <c r="T46" s="205">
        <f t="shared" ca="1" si="2"/>
        <v>1957</v>
      </c>
      <c r="U46" s="194"/>
      <c r="V46" s="194"/>
    </row>
    <row r="47" spans="1:22" ht="15" thickBot="1">
      <c r="A47" s="20"/>
      <c r="B47" s="45" t="s">
        <v>102</v>
      </c>
      <c r="C47" s="198"/>
      <c r="D47" s="199" t="str">
        <f>N49</f>
        <v>-</v>
      </c>
      <c r="E47" s="20"/>
      <c r="F47" s="20"/>
      <c r="G47" s="8"/>
      <c r="H47" s="8" t="s">
        <v>255</v>
      </c>
      <c r="I47" s="349"/>
      <c r="J47" s="350"/>
      <c r="K47" s="350"/>
      <c r="L47" s="254"/>
      <c r="M47" s="9" t="s">
        <v>103</v>
      </c>
      <c r="N47" s="9">
        <f ca="1">ROUNDDOWN(($N$48-$N$45)/365,0)</f>
        <v>124</v>
      </c>
      <c r="P47" s="287"/>
      <c r="Q47" s="284">
        <v>4</v>
      </c>
      <c r="R47" s="280">
        <f t="shared" ca="1" si="1"/>
        <v>1956</v>
      </c>
      <c r="S47" s="201" t="s">
        <v>68</v>
      </c>
      <c r="T47" s="205" t="s">
        <v>69</v>
      </c>
      <c r="U47" s="194"/>
      <c r="V47" s="194"/>
    </row>
    <row r="48" spans="1:22" ht="14.25">
      <c r="A48" s="20"/>
      <c r="B48" s="20"/>
      <c r="C48" s="20"/>
      <c r="D48" s="20"/>
      <c r="E48" s="20"/>
      <c r="F48" s="20"/>
      <c r="G48" s="8"/>
      <c r="H48" s="8"/>
      <c r="I48" s="13"/>
      <c r="J48" s="13"/>
      <c r="K48" s="13"/>
      <c r="L48" s="8"/>
      <c r="M48" s="11" t="s">
        <v>104</v>
      </c>
      <c r="N48" s="190">
        <f ca="1">TODAY()</f>
        <v>45483</v>
      </c>
      <c r="P48" s="194"/>
      <c r="Q48" s="203"/>
      <c r="S48" s="194"/>
      <c r="T48" s="195"/>
      <c r="U48" s="194"/>
      <c r="V48" s="194"/>
    </row>
    <row r="49" spans="1:22" ht="15.75" thickBot="1">
      <c r="A49" s="313" t="s">
        <v>105</v>
      </c>
      <c r="B49" s="313"/>
      <c r="C49" s="313"/>
      <c r="D49" s="313"/>
      <c r="E49" s="313"/>
      <c r="F49" s="313"/>
      <c r="G49" s="313"/>
      <c r="H49" s="313"/>
      <c r="I49" s="313"/>
      <c r="J49" s="313"/>
      <c r="K49" s="8"/>
      <c r="L49" s="8"/>
      <c r="M49" s="9" t="s">
        <v>102</v>
      </c>
      <c r="N49" s="189" t="str">
        <f>IF($N$46&lt;1919,"-",IF($N$46&lt;=Coordonnées!$R$23,"Vétéran 4",IF($N$46&lt;=Coordonnées!$R$22,"Vétéran 3",IF($N$46&lt;=Coordonnées!$R$21,"Vétéran 2",IF($N$46&lt;=Coordonnées!$R$20,"Vétéran 1",IF($N$46&lt;=Coordonnées!$R$19,"Senior",IF($N$46&lt;=Coordonnées!$R$16,"M20",IF($N$46&lt;=Coordonnées!$R$14,"M17",IF($N$46&lt;=Coordonnées!$R$12,"M15",IF($N$46&lt;=Coordonnées!$R$10,"M13",IF($N$46&lt;=Coordonnées!$R$8,"M11",IF($N$46&lt;=Coordonnées!$R$6,"M9",IF($N$46&lt;=Coordonnées!$R$4,"M7",IF($N$46&lt;=Coordonnées!$R$3,"M5",IF($N$46&lt;$N$53,"Trop jeune")))))))))))))))</f>
        <v>-</v>
      </c>
      <c r="P49" s="194"/>
      <c r="Q49" s="203"/>
      <c r="S49" s="194"/>
      <c r="T49" s="195"/>
      <c r="U49" s="194"/>
      <c r="V49" s="194"/>
    </row>
    <row r="50" spans="1:22" ht="7.5" customHeight="1">
      <c r="A50" s="8"/>
      <c r="B50" s="8"/>
      <c r="C50" s="8"/>
      <c r="D50" s="8"/>
      <c r="E50" s="8"/>
      <c r="F50" s="8"/>
      <c r="G50" s="8"/>
      <c r="H50" s="8"/>
      <c r="I50" s="8"/>
      <c r="J50" s="8"/>
      <c r="K50" s="8"/>
      <c r="L50" s="8"/>
      <c r="M50" s="9" t="s">
        <v>106</v>
      </c>
      <c r="N50" s="189">
        <f>Sommaire!$J$23</f>
        <v>0</v>
      </c>
      <c r="P50" s="194"/>
      <c r="Q50" s="203"/>
      <c r="S50" s="194"/>
      <c r="T50" s="195"/>
      <c r="U50" s="194"/>
      <c r="V50" s="194"/>
    </row>
    <row r="51" spans="1:22" ht="14.25">
      <c r="A51" s="22" t="s">
        <v>107</v>
      </c>
      <c r="B51" s="8"/>
      <c r="C51" s="8"/>
      <c r="D51" s="8"/>
      <c r="E51" s="8"/>
      <c r="F51" s="8"/>
      <c r="G51" s="8"/>
      <c r="H51" s="8"/>
      <c r="I51" s="8"/>
      <c r="J51" s="8"/>
      <c r="K51" s="8"/>
      <c r="L51" s="8"/>
      <c r="M51" s="9" t="s">
        <v>108</v>
      </c>
      <c r="N51" s="189">
        <f ca="1">(YEAR($N$48))+1</f>
        <v>2025</v>
      </c>
      <c r="P51" s="194"/>
      <c r="Q51" s="203"/>
      <c r="S51" s="194"/>
      <c r="T51" s="195"/>
      <c r="U51" s="194"/>
      <c r="V51" s="194"/>
    </row>
    <row r="52" spans="1:22" ht="12.75" customHeight="1" thickBot="1">
      <c r="A52" s="8"/>
      <c r="B52" s="8"/>
      <c r="C52" s="8"/>
      <c r="D52" s="8"/>
      <c r="E52" s="8"/>
      <c r="F52" s="8"/>
      <c r="G52" s="8"/>
      <c r="H52" s="8"/>
      <c r="I52" s="8"/>
      <c r="J52" s="8"/>
      <c r="K52" s="8"/>
      <c r="L52" s="8"/>
      <c r="M52" s="9" t="s">
        <v>109</v>
      </c>
      <c r="N52" s="189">
        <f ca="1">(YEAR($N$48))-1</f>
        <v>2023</v>
      </c>
      <c r="P52" s="194"/>
      <c r="Q52" s="203"/>
      <c r="S52" s="194"/>
      <c r="T52" s="195"/>
      <c r="U52" s="194"/>
      <c r="V52" s="194"/>
    </row>
    <row r="53" spans="1:22">
      <c r="A53" s="8"/>
      <c r="B53" s="335" t="s">
        <v>110</v>
      </c>
      <c r="C53" s="336"/>
      <c r="D53" s="336"/>
      <c r="E53" s="336"/>
      <c r="F53" s="336"/>
      <c r="G53" s="336"/>
      <c r="H53" s="336"/>
      <c r="I53" s="336"/>
      <c r="J53" s="336"/>
      <c r="K53" s="337"/>
      <c r="L53" s="8"/>
      <c r="M53" s="9" t="s">
        <v>111</v>
      </c>
      <c r="N53" s="189">
        <f ca="1">(YEAR($N$48))</f>
        <v>2024</v>
      </c>
      <c r="P53" s="194"/>
      <c r="Q53" s="203"/>
      <c r="S53" s="194"/>
      <c r="T53" s="195"/>
      <c r="U53" s="194"/>
      <c r="V53" s="194"/>
    </row>
    <row r="54" spans="1:22">
      <c r="A54" s="8"/>
      <c r="B54" s="338"/>
      <c r="C54" s="339"/>
      <c r="D54" s="339"/>
      <c r="E54" s="339"/>
      <c r="F54" s="339"/>
      <c r="G54" s="339"/>
      <c r="H54" s="339"/>
      <c r="I54" s="339"/>
      <c r="J54" s="339"/>
      <c r="K54" s="340"/>
      <c r="L54" s="8"/>
      <c r="M54" s="206" t="s">
        <v>112</v>
      </c>
      <c r="N54" s="9">
        <f ca="1">IF(MONTH(TODAY())&gt;6,YEAR($N$48)+1,YEAR(TODAY()))</f>
        <v>2025</v>
      </c>
      <c r="P54" s="194"/>
      <c r="Q54" s="203"/>
      <c r="S54" s="194"/>
      <c r="T54" s="195"/>
      <c r="U54" s="194"/>
      <c r="V54" s="194"/>
    </row>
    <row r="55" spans="1:22">
      <c r="A55" s="8"/>
      <c r="B55" s="338"/>
      <c r="C55" s="339"/>
      <c r="D55" s="339"/>
      <c r="E55" s="339"/>
      <c r="F55" s="339"/>
      <c r="G55" s="339"/>
      <c r="H55" s="339"/>
      <c r="I55" s="339"/>
      <c r="J55" s="339"/>
      <c r="K55" s="340"/>
      <c r="L55" s="8"/>
      <c r="P55" s="194"/>
      <c r="Q55" s="203"/>
      <c r="S55" s="194"/>
      <c r="T55" s="195"/>
      <c r="U55" s="194"/>
      <c r="V55" s="194"/>
    </row>
    <row r="56" spans="1:22" ht="13.5" thickBot="1">
      <c r="A56" s="8"/>
      <c r="B56" s="341"/>
      <c r="C56" s="342"/>
      <c r="D56" s="342"/>
      <c r="E56" s="342"/>
      <c r="F56" s="342"/>
      <c r="G56" s="342"/>
      <c r="H56" s="342"/>
      <c r="I56" s="342"/>
      <c r="J56" s="342"/>
      <c r="K56" s="343"/>
      <c r="L56" s="8"/>
      <c r="P56" s="194"/>
      <c r="Q56" s="203"/>
      <c r="S56" s="194"/>
      <c r="T56" s="195"/>
      <c r="U56" s="194"/>
      <c r="V56" s="194"/>
    </row>
    <row r="57" spans="1:22">
      <c r="A57" s="8"/>
      <c r="B57" s="8"/>
      <c r="C57" s="8"/>
      <c r="D57" s="8"/>
      <c r="E57" s="8"/>
      <c r="F57" s="8"/>
      <c r="G57" s="8"/>
      <c r="H57" s="8"/>
      <c r="I57" s="8"/>
      <c r="J57" s="8"/>
      <c r="K57" s="8"/>
      <c r="L57" s="8"/>
    </row>
    <row r="58" spans="1:22" ht="15.75" thickBot="1">
      <c r="A58" s="313" t="s">
        <v>64</v>
      </c>
      <c r="B58" s="313"/>
      <c r="C58" s="313"/>
      <c r="D58" s="313"/>
      <c r="E58" s="313"/>
      <c r="F58" s="313"/>
      <c r="G58" s="313"/>
      <c r="H58" s="313"/>
      <c r="I58" s="313"/>
      <c r="J58" s="313"/>
      <c r="K58" s="8"/>
      <c r="L58" s="8"/>
    </row>
    <row r="59" spans="1:22">
      <c r="A59" s="8"/>
      <c r="B59" s="8"/>
      <c r="C59" s="8"/>
      <c r="D59" s="8"/>
      <c r="E59" s="8"/>
      <c r="F59" s="8"/>
      <c r="G59" s="8"/>
      <c r="H59" s="8"/>
      <c r="I59" s="8"/>
      <c r="J59" s="8"/>
      <c r="K59" s="8"/>
      <c r="L59" s="8"/>
    </row>
    <row r="60" spans="1:22" ht="14.25">
      <c r="A60" s="8"/>
      <c r="B60" s="21" t="str">
        <f ca="1">IF(N2=0,"Complété","A compléter")</f>
        <v>A compléter</v>
      </c>
      <c r="C60" s="20"/>
      <c r="D60" s="20" t="str">
        <f ca="1">"Il reste "&amp;N2&amp;" zones obligatoires à renseigner (et "&amp;N35&amp;" zones optionnelles)"</f>
        <v>Il reste 18 zones obligatoires à renseigner (et 3 zones optionnelles)</v>
      </c>
      <c r="E60" s="20"/>
      <c r="F60" s="20"/>
      <c r="G60" s="20"/>
      <c r="H60" s="20"/>
      <c r="I60" s="20"/>
      <c r="J60" s="8"/>
      <c r="K60" s="8"/>
      <c r="L60" s="8"/>
    </row>
    <row r="61" spans="1:22">
      <c r="A61" s="8"/>
      <c r="B61" s="8"/>
      <c r="C61" s="8"/>
      <c r="D61" s="8"/>
      <c r="E61" s="8"/>
      <c r="F61" s="8"/>
      <c r="G61" s="8"/>
      <c r="H61" s="8"/>
      <c r="I61" s="8"/>
      <c r="J61" s="8"/>
      <c r="K61" s="8"/>
      <c r="L61" s="8"/>
    </row>
    <row r="62" spans="1:22">
      <c r="A62" s="8"/>
      <c r="B62" s="8"/>
      <c r="C62" s="8"/>
      <c r="D62" s="8"/>
      <c r="E62" s="8"/>
      <c r="F62" s="8"/>
      <c r="G62" s="8"/>
      <c r="H62" s="8"/>
      <c r="I62" s="8"/>
      <c r="J62" s="8"/>
      <c r="K62" s="321" t="s">
        <v>65</v>
      </c>
      <c r="L62" s="321"/>
    </row>
    <row r="63" spans="1:22">
      <c r="A63" s="8"/>
      <c r="B63" s="8"/>
      <c r="C63" s="8"/>
      <c r="D63" s="8"/>
      <c r="E63" s="8"/>
      <c r="F63" s="8"/>
      <c r="G63" s="8"/>
      <c r="H63" s="8"/>
      <c r="I63" s="8"/>
      <c r="J63" s="8"/>
      <c r="K63" s="8"/>
      <c r="L63" s="8"/>
    </row>
    <row r="64" spans="1:22">
      <c r="A64" s="8"/>
      <c r="B64" s="8"/>
      <c r="C64" s="8"/>
      <c r="D64" s="8"/>
      <c r="E64" s="8"/>
      <c r="F64" s="8"/>
      <c r="G64" s="8"/>
      <c r="H64" s="8"/>
      <c r="I64" s="8"/>
      <c r="J64" s="8"/>
      <c r="K64" s="8"/>
      <c r="L64" s="8"/>
    </row>
  </sheetData>
  <sheetProtection password="E8DD" sheet="1" objects="1" scenarios="1"/>
  <mergeCells count="32">
    <mergeCell ref="B19:F19"/>
    <mergeCell ref="D7:F7"/>
    <mergeCell ref="H10:J10"/>
    <mergeCell ref="D16:F16"/>
    <mergeCell ref="A58:J58"/>
    <mergeCell ref="B53:K56"/>
    <mergeCell ref="B45:D45"/>
    <mergeCell ref="A21:J21"/>
    <mergeCell ref="D24:F24"/>
    <mergeCell ref="H24:I24"/>
    <mergeCell ref="B27:K27"/>
    <mergeCell ref="D30:F30"/>
    <mergeCell ref="B33:F33"/>
    <mergeCell ref="H33:I33"/>
    <mergeCell ref="I47:K47"/>
    <mergeCell ref="D10:E10"/>
    <mergeCell ref="S27:T27"/>
    <mergeCell ref="S3:T3"/>
    <mergeCell ref="K62:L62"/>
    <mergeCell ref="K1:L1"/>
    <mergeCell ref="A4:J4"/>
    <mergeCell ref="A35:J35"/>
    <mergeCell ref="A43:J43"/>
    <mergeCell ref="A49:J49"/>
    <mergeCell ref="H38:I38"/>
    <mergeCell ref="B41:D41"/>
    <mergeCell ref="F41:H41"/>
    <mergeCell ref="A2:D2"/>
    <mergeCell ref="D38:F38"/>
    <mergeCell ref="B13:K13"/>
    <mergeCell ref="H7:I7"/>
    <mergeCell ref="H19:I19"/>
  </mergeCells>
  <conditionalFormatting sqref="B60">
    <cfRule type="expression" dxfId="14" priority="2" stopIfTrue="1">
      <formula>IF($B$60="Complété",TRUE,FALSE)</formula>
    </cfRule>
  </conditionalFormatting>
  <dataValidations count="7">
    <dataValidation type="whole" allowBlank="1" showInputMessage="1" showErrorMessage="1" sqref="B30 B16">
      <formula1>0</formula1>
      <formula2>99999</formula2>
    </dataValidation>
    <dataValidation type="list" allowBlank="1" showInputMessage="1" showErrorMessage="1" sqref="K45">
      <formula1>"Blanche,Jaune,Rouge,Bleu,Vert,Aucune"</formula1>
    </dataValidation>
    <dataValidation type="date" allowBlank="1" showInputMessage="1" showErrorMessage="1" errorTitle="Date invalide" error="La date de naissance doit être comprise entre le 01/01/1900 et aujourd'hui." sqref="K7">
      <formula1>1</formula1>
      <formula2>TODAY()</formula2>
    </dataValidation>
    <dataValidation type="list" allowBlank="1" showInputMessage="1" showErrorMessage="1" sqref="E45">
      <formula1>"Débutant,1,2,3 ou 4,+ 5"</formula1>
    </dataValidation>
    <dataValidation type="list" allowBlank="1" showInputMessage="1" showErrorMessage="1" sqref="B38">
      <formula1>"Madame ,Monsieur,Mademoiselle"</formula1>
    </dataValidation>
    <dataValidation type="list" allowBlank="1" showInputMessage="1" showErrorMessage="1" sqref="B7 B24">
      <formula1>"Madame,Monsieur,Mademoiselle"</formula1>
    </dataValidation>
    <dataValidation type="list" allowBlank="1" showInputMessage="1" showErrorMessage="1" sqref="I47">
      <formula1>"Droitier,Gaucher,Ne se prononce pas"</formula1>
    </dataValidation>
  </dataValidations>
  <hyperlinks>
    <hyperlink ref="K62" location="Sommaire!C27" display="Revenir au sommaire"/>
    <hyperlink ref="K1" location="Sommaire!C27" display="Revenir au sommaire"/>
    <hyperlink ref="K62:L62" location="Assurance!D25" display="Rubrique suivante"/>
    <hyperlink ref="K1:L1" location="Sommaire!C30" display="Revenir au sommaire"/>
  </hyperlinks>
  <pageMargins left="0.78740157480314965" right="0.78740157480314965" top="1.0236220472440944" bottom="1.0236220472440944" header="0.78740157480314965" footer="0.78740157480314965"/>
  <pageSetup paperSize="9" scale="80" orientation="portrait" horizontalDpi="300" verticalDpi="300" r:id="rId1"/>
  <headerFooter alignWithMargins="0">
    <oddHeader>&amp;C&amp;A</oddHeader>
    <oddFooter>&amp;RPage 2/5</oddFooter>
  </headerFooter>
</worksheet>
</file>

<file path=xl/worksheets/sheet4.xml><?xml version="1.0" encoding="utf-8"?>
<worksheet xmlns="http://schemas.openxmlformats.org/spreadsheetml/2006/main" xmlns:r="http://schemas.openxmlformats.org/officeDocument/2006/relationships">
  <sheetPr codeName="Feuil4">
    <tabColor theme="8"/>
    <pageSetUpPr fitToPage="1"/>
  </sheetPr>
  <dimension ref="A1:P56"/>
  <sheetViews>
    <sheetView zoomScale="75" zoomScaleNormal="75" workbookViewId="0">
      <selection activeCell="D14" sqref="D14:F14"/>
    </sheetView>
  </sheetViews>
  <sheetFormatPr baseColWidth="10" defaultColWidth="11.5703125" defaultRowHeight="12.75"/>
  <cols>
    <col min="1" max="1" width="5.140625" style="9" customWidth="1"/>
    <col min="2" max="2" width="16.140625" style="9" customWidth="1"/>
    <col min="3" max="3" width="11.5703125" style="9" customWidth="1"/>
    <col min="4" max="4" width="39.28515625" style="9" customWidth="1"/>
    <col min="5" max="5" width="11.5703125" style="9"/>
    <col min="6" max="6" width="15.28515625" style="9" customWidth="1"/>
    <col min="7" max="7" width="15.140625" style="9" customWidth="1"/>
    <col min="8" max="8" width="15" style="9" customWidth="1"/>
    <col min="9" max="9" width="15.28515625" style="9" customWidth="1"/>
    <col min="10" max="10" width="3.42578125" style="9" customWidth="1"/>
    <col min="11" max="11" width="10.28515625" style="9" customWidth="1"/>
    <col min="12" max="12" width="29.42578125" style="9" hidden="1" customWidth="1"/>
    <col min="13" max="13" width="16" style="189" hidden="1" customWidth="1"/>
    <col min="14" max="14" width="10.7109375" style="9" hidden="1" customWidth="1"/>
    <col min="15" max="15" width="9.7109375" style="9" hidden="1" customWidth="1"/>
    <col min="16" max="16" width="11.5703125" style="9" customWidth="1"/>
    <col min="17" max="16384" width="11.5703125" style="9"/>
  </cols>
  <sheetData>
    <row r="1" spans="1:13" ht="14.25">
      <c r="A1" s="8"/>
      <c r="B1" s="8"/>
      <c r="C1" s="8"/>
      <c r="D1" s="8"/>
      <c r="E1" s="8"/>
      <c r="F1" s="8"/>
      <c r="G1" s="8"/>
      <c r="H1" s="8"/>
      <c r="I1" s="312" t="s">
        <v>29</v>
      </c>
      <c r="J1" s="312"/>
      <c r="K1" s="268"/>
      <c r="L1" s="9" t="s">
        <v>113</v>
      </c>
      <c r="M1" s="189" t="str">
        <f>Sommaire!M27</f>
        <v>A compléter</v>
      </c>
    </row>
    <row r="2" spans="1:13" ht="29.25" thickBot="1">
      <c r="A2" s="362" t="s">
        <v>114</v>
      </c>
      <c r="B2" s="362"/>
      <c r="C2" s="362"/>
      <c r="D2" s="362"/>
      <c r="E2" s="8"/>
      <c r="F2" s="8"/>
      <c r="G2" s="8"/>
      <c r="H2" s="8"/>
      <c r="I2" s="8"/>
      <c r="J2" s="8"/>
      <c r="K2" s="8"/>
    </row>
    <row r="3" spans="1:13" ht="13.5" thickTop="1">
      <c r="A3" s="8"/>
      <c r="B3" s="8"/>
      <c r="C3" s="8"/>
      <c r="D3" s="8"/>
      <c r="E3" s="8"/>
      <c r="F3" s="8"/>
      <c r="G3" s="8"/>
      <c r="H3" s="8"/>
      <c r="I3" s="8"/>
      <c r="J3" s="8"/>
      <c r="K3" s="8"/>
      <c r="L3" s="9" t="s">
        <v>115</v>
      </c>
      <c r="M3" s="189">
        <f>L14+L16</f>
        <v>2</v>
      </c>
    </row>
    <row r="4" spans="1:13" ht="15.75" thickBot="1">
      <c r="A4" s="313" t="s">
        <v>116</v>
      </c>
      <c r="B4" s="313"/>
      <c r="C4" s="313"/>
      <c r="D4" s="313"/>
      <c r="E4" s="313"/>
      <c r="F4" s="313"/>
      <c r="G4" s="313"/>
      <c r="H4" s="8"/>
      <c r="I4" s="8"/>
      <c r="J4" s="8"/>
      <c r="K4" s="8"/>
      <c r="L4" s="11"/>
    </row>
    <row r="5" spans="1:13">
      <c r="A5" s="8"/>
      <c r="B5" s="8"/>
      <c r="C5" s="8"/>
      <c r="D5" s="8"/>
      <c r="E5" s="8"/>
      <c r="F5" s="8"/>
      <c r="G5" s="8"/>
      <c r="H5" s="8"/>
      <c r="I5" s="8"/>
      <c r="J5" s="8"/>
      <c r="K5" s="8"/>
    </row>
    <row r="6" spans="1:13">
      <c r="A6" s="8"/>
      <c r="B6" s="8" t="s">
        <v>308</v>
      </c>
      <c r="C6" s="8"/>
      <c r="D6" s="8"/>
      <c r="E6" s="8"/>
      <c r="F6" s="8"/>
      <c r="G6" s="8"/>
      <c r="H6" s="8"/>
      <c r="I6" s="8"/>
      <c r="J6" s="8"/>
      <c r="K6" s="8"/>
    </row>
    <row r="7" spans="1:13" ht="15">
      <c r="A7" s="8"/>
      <c r="B7" s="79" t="s">
        <v>288</v>
      </c>
      <c r="C7" s="8"/>
      <c r="D7" s="8"/>
      <c r="E7" s="277" t="s">
        <v>269</v>
      </c>
      <c r="F7" s="8"/>
      <c r="G7" s="8"/>
      <c r="H7" s="8"/>
      <c r="I7" s="8"/>
      <c r="J7" s="8"/>
      <c r="K7" s="8"/>
    </row>
    <row r="8" spans="1:13">
      <c r="A8" s="8"/>
      <c r="B8" s="8"/>
      <c r="C8" s="8"/>
      <c r="D8" s="8"/>
      <c r="E8" s="8"/>
      <c r="F8" s="8"/>
      <c r="G8" s="8"/>
      <c r="H8" s="8"/>
      <c r="I8" s="8"/>
      <c r="J8" s="8"/>
      <c r="K8" s="8"/>
    </row>
    <row r="9" spans="1:13" ht="15">
      <c r="A9" s="8"/>
      <c r="B9" s="8"/>
      <c r="C9" s="8"/>
      <c r="D9" s="8"/>
      <c r="E9" s="16" t="s">
        <v>117</v>
      </c>
      <c r="F9" s="17" t="s">
        <v>298</v>
      </c>
      <c r="G9" s="17" t="s">
        <v>299</v>
      </c>
      <c r="H9" s="17" t="s">
        <v>300</v>
      </c>
      <c r="I9" s="8"/>
      <c r="J9" s="8"/>
      <c r="K9" s="8"/>
    </row>
    <row r="10" spans="1:13" ht="15">
      <c r="A10" s="8"/>
      <c r="B10" s="359" t="str">
        <f>IF(Sommaire!J23="Oui","Tarif de base","Tarif de base")</f>
        <v>Tarif de base</v>
      </c>
      <c r="C10" s="360"/>
      <c r="D10" s="361"/>
      <c r="E10" s="222">
        <f ca="1">F10+G10+H10</f>
        <v>240</v>
      </c>
      <c r="F10" s="224">
        <f ca="1">IF(AND(Sommaire!$J$23="OUI",Coordonnées!$M$1="Majeur"),VLOOKUP("Cotis. base chèque 1",Paramètres,3,FALSE),IF(AND(Sommaire!$J$23="OUI",Coordonnées!$M$1="Mineur"),VLOOKUP("Cotis. base chèque 1",Paramètres,4,FALSE),VLOOKUP("Cotis. base chèque 1",Paramètres,2,FALSE)))</f>
        <v>80</v>
      </c>
      <c r="G10" s="224">
        <f ca="1">IF(AND(Sommaire!$J$23="OUI",Coordonnées!$M$1="Majeur"),VLOOKUP("Cotis. base chèque 2",Paramètres,3,FALSE),IF(AND(Sommaire!$J$23="OUI",Coordonnées!$M$1="Mineur"),VLOOKUP("Cotis. base chèque 2",Paramètres,4,FALSE),VLOOKUP("Cotis. base chèque 2",Paramètres,2,FALSE)))</f>
        <v>80</v>
      </c>
      <c r="H10" s="224">
        <f ca="1">IF(AND(Sommaire!$J$23="OUI",Coordonnées!$M$1="Majeur"),VLOOKUP("Cotis. base chèque 3",Paramètres,3,FALSE),IF(AND(Sommaire!$J$23="OUI",Coordonnées!$M$1="Mineur"),VLOOKUP("Cotis. base chèque 3",Paramètres,4,FALSE),VLOOKUP("Cotis. base chèque 3",Paramètres,2,FALSE)))</f>
        <v>80</v>
      </c>
      <c r="I10" s="8"/>
      <c r="J10" s="8"/>
      <c r="K10" s="8"/>
    </row>
    <row r="11" spans="1:13" ht="15">
      <c r="A11" s="8"/>
      <c r="B11" s="359" t="str">
        <f>IF(Sommaire!J23="Oui","Tarif sans licence (1)","Tarif sans licence (1)")</f>
        <v>Tarif sans licence (1)</v>
      </c>
      <c r="C11" s="360"/>
      <c r="D11" s="361"/>
      <c r="E11" s="223">
        <f ca="1">F11+G11+H11</f>
        <v>180</v>
      </c>
      <c r="F11" s="224">
        <f ca="1">IF(AND(Sommaire!$J$23="OUI",Coordonnées!$M$1="Majeur"),VLOOKUP("Cotis. s.licence chèque 1",Paramètres,3,FALSE),IF(AND(Sommaire!$J$23="OUI",Coordonnées!$M$1="Mineur"),VLOOKUP("Cotis. s.licence chèque 1",Paramètres,4,FALSE),VLOOKUP("Cotis. s.licence chèque 1",Paramètres,2,FALSE)))</f>
        <v>60</v>
      </c>
      <c r="G11" s="224">
        <f ca="1">IF(AND(Sommaire!$J$23="OUI",Coordonnées!$M$1="Majeur"),VLOOKUP("Cotis. s.licence chèque 2",Paramètres,3,FALSE),IF(AND(Sommaire!$J$23="OUI",Coordonnées!$M$1="Mineur"),VLOOKUP("Cotis. s.licence chèque 2",Paramètres,4,FALSE),VLOOKUP("Cotis. s.licence chèque 2",Paramètres,2,FALSE)))</f>
        <v>60</v>
      </c>
      <c r="H11" s="224">
        <f ca="1">IF(AND(Sommaire!$J$23="OUI",Coordonnées!$M$1="Majeur"),VLOOKUP("Cotis. s.licence chèque 3",Paramètres,3,FALSE),IF(AND(Sommaire!$J$23="OUI",Coordonnées!$M$1="Mineur"),VLOOKUP("Cotis. s.licence chèque 3",Paramètres,4,FALSE),VLOOKUP("Cotis. s.licence chèque 3",Paramètres,2,FALSE)))</f>
        <v>60</v>
      </c>
      <c r="I11" s="8"/>
      <c r="J11" s="8"/>
      <c r="K11" s="8"/>
    </row>
    <row r="12" spans="1:13" ht="15">
      <c r="A12" s="8"/>
      <c r="B12" s="359" t="s">
        <v>274</v>
      </c>
      <c r="C12" s="360"/>
      <c r="D12" s="361"/>
      <c r="E12" s="223">
        <f>F12+G12+H12</f>
        <v>90</v>
      </c>
      <c r="F12" s="262">
        <f>IF(Sommaire!$J$23="OUI",VLOOKUP("Cotis. Licence seul chèque 1",Paramètres,3,FALSE),VLOOKUP("Cotis. Licence seul chèque 1",Paramètres,2,FALSE))</f>
        <v>30</v>
      </c>
      <c r="G12" s="262">
        <f>IF(Sommaire!$J$23="OUI",VLOOKUP("Cotis. Licence seul chèque 2",Paramètres,3,FALSE),VLOOKUP("Cotis. Licence seul chèque 2",Paramètres,2,FALSE))</f>
        <v>30</v>
      </c>
      <c r="H12" s="262">
        <f>IF(Sommaire!$J$23="OUI",VLOOKUP("Cotis. Licence seul chèque 3",Paramètres,3,FALSE),VLOOKUP("Cotis. Licence seul chèque 3",Paramètres,2,FALSE))</f>
        <v>30</v>
      </c>
      <c r="I12" s="8"/>
      <c r="J12" s="8"/>
      <c r="K12" s="8"/>
    </row>
    <row r="13" spans="1:13" ht="13.5" thickBot="1">
      <c r="A13" s="8"/>
      <c r="B13" s="8"/>
      <c r="C13" s="8"/>
      <c r="D13" s="8"/>
      <c r="E13" s="8"/>
      <c r="F13" s="8"/>
      <c r="G13" s="8"/>
      <c r="H13" s="8"/>
      <c r="I13" s="8"/>
      <c r="J13" s="8"/>
      <c r="K13" s="8"/>
    </row>
    <row r="14" spans="1:13" ht="15.75" thickBot="1">
      <c r="A14" s="8"/>
      <c r="B14" s="8"/>
      <c r="C14" s="23" t="s">
        <v>286</v>
      </c>
      <c r="D14" s="316"/>
      <c r="E14" s="328"/>
      <c r="F14" s="317"/>
      <c r="G14" s="8"/>
      <c r="H14" s="8"/>
      <c r="I14" s="12">
        <f>IF(ISBLANK($D$14),0,VLOOKUP($D$14,B10:E12,4,FALSE))</f>
        <v>0</v>
      </c>
      <c r="J14" s="8"/>
      <c r="K14" s="8"/>
      <c r="L14" s="9">
        <f>IF(ISBLANK(D14),1,0)</f>
        <v>1</v>
      </c>
    </row>
    <row r="15" spans="1:13" ht="15.75" thickBot="1">
      <c r="A15" s="8"/>
      <c r="B15" s="8"/>
      <c r="C15" s="23"/>
      <c r="D15" s="23"/>
      <c r="E15" s="23"/>
      <c r="F15" s="23"/>
      <c r="G15" s="23"/>
      <c r="H15" s="23"/>
      <c r="I15" s="8"/>
      <c r="J15" s="23"/>
      <c r="K15" s="23"/>
    </row>
    <row r="16" spans="1:13" ht="15.75" thickBot="1">
      <c r="A16" s="8"/>
      <c r="B16" s="87"/>
      <c r="C16" s="8"/>
      <c r="D16" s="267" t="s">
        <v>285</v>
      </c>
      <c r="E16" s="351"/>
      <c r="F16" s="352"/>
      <c r="G16" s="265"/>
      <c r="H16" s="8"/>
      <c r="I16" s="198"/>
      <c r="J16" s="8"/>
      <c r="K16" s="8"/>
      <c r="L16" s="9">
        <f>IF(ISBLANK(E16),1,0)</f>
        <v>1</v>
      </c>
    </row>
    <row r="17" spans="1:15">
      <c r="A17" s="8"/>
      <c r="B17" s="8"/>
      <c r="C17" s="8"/>
      <c r="D17" s="8"/>
      <c r="E17" s="266"/>
      <c r="F17" s="8"/>
      <c r="G17" s="8"/>
      <c r="H17" s="8"/>
      <c r="I17" s="8"/>
      <c r="J17" s="8"/>
      <c r="K17" s="8"/>
    </row>
    <row r="18" spans="1:15" ht="15">
      <c r="A18" s="8"/>
      <c r="B18" s="225" t="s">
        <v>309</v>
      </c>
      <c r="C18" s="23"/>
      <c r="D18" s="23"/>
      <c r="E18" s="23"/>
      <c r="F18" s="23"/>
      <c r="G18" s="23"/>
      <c r="H18" s="23"/>
      <c r="I18" s="23"/>
      <c r="J18" s="23"/>
      <c r="K18" s="23"/>
    </row>
    <row r="19" spans="1:15" ht="15">
      <c r="A19" s="8"/>
      <c r="B19" s="8" t="s">
        <v>254</v>
      </c>
      <c r="C19" s="23"/>
      <c r="D19" s="23"/>
      <c r="E19" s="23"/>
      <c r="F19" s="23"/>
      <c r="G19" s="23"/>
      <c r="H19" s="23"/>
      <c r="I19" s="23"/>
      <c r="J19" s="23"/>
      <c r="K19" s="23"/>
    </row>
    <row r="20" spans="1:15" ht="15.75" thickBot="1">
      <c r="A20" s="8"/>
      <c r="B20" s="87"/>
      <c r="C20" s="23"/>
      <c r="D20" s="23"/>
      <c r="E20" s="23"/>
      <c r="F20" s="23"/>
      <c r="G20" s="23"/>
      <c r="H20" s="23"/>
      <c r="I20" s="23"/>
      <c r="J20" s="23"/>
      <c r="K20" s="23"/>
    </row>
    <row r="21" spans="1:15" ht="15.75" customHeight="1" thickBot="1">
      <c r="A21" s="8"/>
      <c r="B21" s="8" t="s">
        <v>119</v>
      </c>
      <c r="C21" s="8"/>
      <c r="D21" s="8"/>
      <c r="E21" s="8"/>
      <c r="F21" s="86"/>
      <c r="G21" s="8"/>
      <c r="H21" s="8"/>
      <c r="I21" s="8"/>
      <c r="J21" s="8"/>
      <c r="K21" s="8"/>
      <c r="L21" s="9">
        <f>IF(ISBLANK(F21),1,0)</f>
        <v>1</v>
      </c>
    </row>
    <row r="22" spans="1:15" ht="15.75" customHeight="1">
      <c r="A22" s="8"/>
      <c r="B22" s="8"/>
      <c r="C22" s="8"/>
      <c r="D22" s="8"/>
      <c r="E22" s="8"/>
      <c r="F22" s="270"/>
      <c r="G22" s="8"/>
      <c r="H22" s="8"/>
      <c r="I22" s="8"/>
      <c r="J22" s="8"/>
      <c r="K22" s="8"/>
    </row>
    <row r="23" spans="1:15" ht="15.75" customHeight="1">
      <c r="A23" s="8"/>
      <c r="B23" s="8"/>
      <c r="C23" s="198" t="s">
        <v>295</v>
      </c>
      <c r="D23" s="8"/>
      <c r="E23" s="198"/>
      <c r="F23" s="198"/>
      <c r="G23" s="198" t="s">
        <v>292</v>
      </c>
      <c r="H23" s="198"/>
      <c r="I23" s="276"/>
      <c r="J23" s="8"/>
      <c r="K23" s="8"/>
    </row>
    <row r="24" spans="1:15" ht="15.75" customHeight="1">
      <c r="A24" s="8"/>
      <c r="B24" s="8"/>
      <c r="C24" s="8"/>
      <c r="D24" s="8"/>
      <c r="E24" s="8"/>
      <c r="F24" s="270"/>
      <c r="G24" s="8"/>
      <c r="H24" s="8"/>
      <c r="I24" s="8"/>
      <c r="J24" s="8"/>
      <c r="K24" s="8"/>
    </row>
    <row r="25" spans="1:15" ht="25.5" customHeight="1">
      <c r="A25" s="8"/>
      <c r="B25" s="8"/>
      <c r="C25" s="8"/>
      <c r="D25" s="8"/>
      <c r="E25" s="8"/>
      <c r="F25" s="8"/>
      <c r="G25" s="8"/>
      <c r="H25" s="8"/>
      <c r="I25" s="271"/>
      <c r="J25" s="8"/>
      <c r="K25" s="8"/>
    </row>
    <row r="26" spans="1:15" ht="14.25">
      <c r="A26" s="8"/>
      <c r="B26" s="8"/>
      <c r="C26" s="8"/>
      <c r="D26" s="8"/>
      <c r="E26" s="8"/>
      <c r="F26" s="8"/>
      <c r="G26" s="8"/>
      <c r="H26" s="8"/>
      <c r="I26" s="271"/>
      <c r="J26" s="8"/>
      <c r="K26" s="8"/>
    </row>
    <row r="27" spans="1:15" ht="14.25">
      <c r="A27" s="8"/>
      <c r="B27" s="8"/>
      <c r="C27" s="8"/>
      <c r="D27" s="8"/>
      <c r="E27" s="271"/>
      <c r="F27" s="272" t="s">
        <v>293</v>
      </c>
      <c r="G27" s="274" t="s">
        <v>294</v>
      </c>
      <c r="H27" s="8"/>
      <c r="I27" s="8"/>
      <c r="J27" s="8"/>
      <c r="K27" s="8"/>
    </row>
    <row r="28" spans="1:15" ht="14.25">
      <c r="A28" s="8"/>
      <c r="B28" s="8"/>
      <c r="C28" s="8"/>
      <c r="D28" s="8"/>
      <c r="E28" s="8"/>
      <c r="F28" s="273" t="s">
        <v>296</v>
      </c>
      <c r="G28" s="275" t="s">
        <v>297</v>
      </c>
      <c r="H28" s="8"/>
      <c r="I28" s="271"/>
      <c r="J28" s="8"/>
      <c r="K28" s="8"/>
    </row>
    <row r="29" spans="1:15" ht="14.25">
      <c r="A29" s="8"/>
      <c r="B29" s="8"/>
      <c r="C29" s="8"/>
      <c r="D29" s="8"/>
      <c r="E29" s="8"/>
      <c r="F29" s="20"/>
      <c r="G29" s="20"/>
      <c r="H29" s="8"/>
      <c r="I29" s="8"/>
      <c r="J29" s="8"/>
      <c r="K29" s="8"/>
    </row>
    <row r="30" spans="1:15" ht="15.75" thickBot="1">
      <c r="A30" s="313" t="s">
        <v>120</v>
      </c>
      <c r="B30" s="313"/>
      <c r="C30" s="313"/>
      <c r="D30" s="313"/>
      <c r="E30" s="313"/>
      <c r="F30" s="313"/>
      <c r="G30" s="313"/>
      <c r="H30" s="8"/>
      <c r="I30" s="8"/>
      <c r="J30" s="8"/>
      <c r="K30" s="8"/>
    </row>
    <row r="31" spans="1:15">
      <c r="A31" s="8"/>
      <c r="B31" s="8"/>
      <c r="C31" s="8"/>
      <c r="D31" s="8"/>
      <c r="E31" s="8"/>
      <c r="F31" s="8"/>
      <c r="G31" s="8"/>
      <c r="H31" s="8"/>
      <c r="I31" s="8"/>
      <c r="J31" s="8"/>
      <c r="K31" s="8"/>
      <c r="N31" s="73" t="s">
        <v>121</v>
      </c>
      <c r="O31" s="73" t="s">
        <v>122</v>
      </c>
    </row>
    <row r="32" spans="1:15">
      <c r="A32"/>
      <c r="B32" s="279" t="s">
        <v>310</v>
      </c>
      <c r="C32" s="81"/>
      <c r="D32" s="8"/>
      <c r="E32" s="8"/>
      <c r="F32" s="8"/>
      <c r="G32" s="8"/>
      <c r="H32" s="8"/>
      <c r="I32" s="8"/>
      <c r="J32" s="8"/>
      <c r="K32" s="8"/>
      <c r="N32" s="73"/>
      <c r="O32" s="73"/>
    </row>
    <row r="33" spans="1:16" ht="15" customHeight="1">
      <c r="A33" s="8"/>
      <c r="B33" s="278" t="s">
        <v>275</v>
      </c>
      <c r="C33" s="8"/>
      <c r="D33" s="8"/>
      <c r="E33" s="8"/>
      <c r="F33" s="8"/>
      <c r="G33" s="8"/>
      <c r="H33" s="8"/>
      <c r="I33" s="8"/>
      <c r="J33" s="8"/>
      <c r="K33" s="8"/>
      <c r="N33" s="73"/>
      <c r="O33" s="73"/>
    </row>
    <row r="34" spans="1:16" ht="15.75" thickBot="1">
      <c r="A34" s="8"/>
      <c r="B34" s="8"/>
      <c r="C34" s="8"/>
      <c r="D34" s="8"/>
      <c r="E34" s="18" t="s">
        <v>117</v>
      </c>
      <c r="F34" s="58" t="s">
        <v>123</v>
      </c>
      <c r="G34" s="8"/>
      <c r="H34" s="8"/>
      <c r="I34" s="8"/>
      <c r="J34" s="8"/>
      <c r="K34" s="8"/>
      <c r="L34" s="9" t="s">
        <v>124</v>
      </c>
      <c r="M34" s="189">
        <f>SUM(M35:M40)+L21</f>
        <v>7</v>
      </c>
      <c r="N34" s="169"/>
      <c r="O34" s="169"/>
      <c r="P34" s="170"/>
    </row>
    <row r="35" spans="1:16" ht="15.75" thickBot="1">
      <c r="A35" s="8"/>
      <c r="B35" s="353" t="s">
        <v>284</v>
      </c>
      <c r="C35" s="354"/>
      <c r="D35" s="355"/>
      <c r="E35" s="57">
        <f>VLOOKUP("Location tenue ≤10ans (veste + pantalon + sous-cuirasse + masque)",Paramètres,2,FALSE)</f>
        <v>60</v>
      </c>
      <c r="F35" s="193">
        <v>0</v>
      </c>
      <c r="G35" s="8"/>
      <c r="H35" s="8"/>
      <c r="I35" s="19">
        <f>$E$35*$F$35</f>
        <v>0</v>
      </c>
      <c r="J35" s="8"/>
      <c r="K35" s="8"/>
      <c r="L35" s="9" t="s">
        <v>284</v>
      </c>
      <c r="M35" s="189">
        <f>IF($F35=0,1,0)</f>
        <v>1</v>
      </c>
      <c r="N35" s="169">
        <f>E35*F35</f>
        <v>0</v>
      </c>
      <c r="O35" s="169"/>
      <c r="P35" s="170"/>
    </row>
    <row r="36" spans="1:16" ht="15.75" thickBot="1">
      <c r="A36" s="8"/>
      <c r="B36" s="353" t="s">
        <v>302</v>
      </c>
      <c r="C36" s="354"/>
      <c r="D36" s="355"/>
      <c r="E36" s="57">
        <f>VLOOKUP("Location tenue ≥11ans (veste + pantalon + masque)",Paramètres,2,FALSE)</f>
        <v>40</v>
      </c>
      <c r="F36" s="192">
        <v>0</v>
      </c>
      <c r="G36" s="8"/>
      <c r="H36" s="8"/>
      <c r="I36" s="19">
        <f>$E$36*$F$36</f>
        <v>0</v>
      </c>
      <c r="J36" s="8"/>
      <c r="K36" s="8"/>
      <c r="L36" s="9" t="s">
        <v>302</v>
      </c>
      <c r="M36" s="189">
        <f t="shared" ref="M36:M40" si="0">IF($F36=0,1,0)</f>
        <v>1</v>
      </c>
      <c r="N36" s="169">
        <f>E36*F36</f>
        <v>0</v>
      </c>
      <c r="O36" s="169"/>
      <c r="P36" s="170"/>
    </row>
    <row r="37" spans="1:16" ht="15.75" thickBot="1">
      <c r="A37" s="8"/>
      <c r="B37" s="353" t="s">
        <v>324</v>
      </c>
      <c r="C37" s="354"/>
      <c r="D37" s="355"/>
      <c r="E37" s="57">
        <f>VLOOKUP("Location masque seul",Paramètres,2,FALSE)</f>
        <v>10</v>
      </c>
      <c r="F37" s="192">
        <v>0</v>
      </c>
      <c r="G37" s="8"/>
      <c r="H37" s="8"/>
      <c r="I37" s="19">
        <f>$E$37*$F$37</f>
        <v>0</v>
      </c>
      <c r="J37" s="8"/>
      <c r="K37" s="8"/>
      <c r="L37" s="9" t="s">
        <v>324</v>
      </c>
      <c r="M37" s="189">
        <f t="shared" si="0"/>
        <v>1</v>
      </c>
      <c r="N37" s="169">
        <f>E37*F37</f>
        <v>0</v>
      </c>
      <c r="O37" s="169"/>
      <c r="P37" s="170"/>
    </row>
    <row r="38" spans="1:16" ht="15.75" thickBot="1">
      <c r="A38" s="8"/>
      <c r="B38" s="353" t="s">
        <v>304</v>
      </c>
      <c r="C38" s="354"/>
      <c r="D38" s="355"/>
      <c r="E38" s="57">
        <f>VLOOKUP("Achat sous cuirasse 800N enfant",Paramètres,2,FALSE)</f>
        <v>62</v>
      </c>
      <c r="F38" s="192">
        <v>0</v>
      </c>
      <c r="G38" s="8"/>
      <c r="H38" s="8"/>
      <c r="I38" s="19">
        <f>$E$38*$F$38</f>
        <v>0</v>
      </c>
      <c r="J38" s="8"/>
      <c r="K38" s="8"/>
      <c r="L38" s="9" t="s">
        <v>306</v>
      </c>
      <c r="M38" s="189">
        <f t="shared" si="0"/>
        <v>1</v>
      </c>
      <c r="N38" s="169">
        <f>E38*F38</f>
        <v>0</v>
      </c>
      <c r="O38" s="169"/>
      <c r="P38" s="170"/>
    </row>
    <row r="39" spans="1:16" ht="15.75" thickBot="1">
      <c r="A39" s="8"/>
      <c r="B39" s="353" t="s">
        <v>311</v>
      </c>
      <c r="C39" s="354"/>
      <c r="D39" s="355"/>
      <c r="E39" s="57">
        <f>VLOOKUP("Achat sous cuirasse 800N ado/adulte",Paramètres,2,FALSE)</f>
        <v>75</v>
      </c>
      <c r="F39" s="192">
        <v>0</v>
      </c>
      <c r="G39" s="8"/>
      <c r="H39" s="8"/>
      <c r="I39" s="19">
        <f>$E$39*$F$39</f>
        <v>0</v>
      </c>
      <c r="J39" s="8"/>
      <c r="K39" s="8"/>
      <c r="L39" s="9" t="s">
        <v>307</v>
      </c>
      <c r="M39" s="189">
        <f t="shared" si="0"/>
        <v>1</v>
      </c>
      <c r="N39" s="169">
        <f>E39*(MIN(VALUE(F39),1))</f>
        <v>0</v>
      </c>
      <c r="O39" s="169"/>
      <c r="P39" s="170"/>
    </row>
    <row r="40" spans="1:16" ht="15.75" thickBot="1">
      <c r="A40" s="8"/>
      <c r="B40" s="353" t="s">
        <v>305</v>
      </c>
      <c r="C40" s="354"/>
      <c r="D40" s="355"/>
      <c r="E40" s="57">
        <f>VLOOKUP("Gant",Paramètres,2,FALSE)</f>
        <v>25</v>
      </c>
      <c r="F40" s="192">
        <v>0</v>
      </c>
      <c r="G40" s="8"/>
      <c r="H40" s="8"/>
      <c r="I40" s="19">
        <f>$E$40*$F$40</f>
        <v>0</v>
      </c>
      <c r="J40" s="8"/>
      <c r="K40" s="8"/>
      <c r="L40" s="9" t="s">
        <v>125</v>
      </c>
      <c r="M40" s="189">
        <f t="shared" si="0"/>
        <v>1</v>
      </c>
      <c r="N40" s="169">
        <f>E40*(MIN(VALUE(F40),1))</f>
        <v>0</v>
      </c>
      <c r="O40" s="169"/>
      <c r="P40" s="170"/>
    </row>
    <row r="41" spans="1:16">
      <c r="A41" s="8"/>
      <c r="B41" s="8"/>
      <c r="C41" s="8"/>
      <c r="D41" s="8"/>
      <c r="E41" s="8"/>
      <c r="F41" s="8"/>
      <c r="G41" s="8"/>
      <c r="H41" s="8"/>
      <c r="I41" s="8"/>
      <c r="J41" s="8"/>
      <c r="K41" s="8"/>
      <c r="L41" s="9" t="s">
        <v>126</v>
      </c>
      <c r="N41" s="169">
        <f>SUM(N35:N40)</f>
        <v>0</v>
      </c>
      <c r="O41" s="169">
        <f>E35*F35</f>
        <v>0</v>
      </c>
      <c r="P41" s="170"/>
    </row>
    <row r="42" spans="1:16">
      <c r="A42" s="8"/>
      <c r="B42" s="8"/>
      <c r="C42" s="214"/>
      <c r="D42" s="214"/>
      <c r="E42" s="8"/>
      <c r="F42" s="8"/>
      <c r="G42" s="8"/>
      <c r="H42" s="8"/>
      <c r="I42" s="8"/>
      <c r="J42" s="8"/>
      <c r="K42" s="8"/>
      <c r="N42" s="170"/>
      <c r="O42" s="170"/>
      <c r="P42" s="170"/>
    </row>
    <row r="43" spans="1:16" ht="15">
      <c r="A43" s="8"/>
      <c r="B43" s="363" t="s">
        <v>127</v>
      </c>
      <c r="C43" s="364"/>
      <c r="D43" s="365"/>
      <c r="E43" s="8"/>
      <c r="F43" s="8"/>
      <c r="G43" s="8"/>
      <c r="H43" s="8"/>
      <c r="I43" s="12">
        <f>SUM($I$35:$I$40)</f>
        <v>0</v>
      </c>
      <c r="J43" s="8"/>
      <c r="K43" s="8"/>
    </row>
    <row r="44" spans="1:16">
      <c r="A44" s="8"/>
      <c r="B44" s="8"/>
      <c r="C44" s="8"/>
      <c r="D44" s="8"/>
      <c r="E44" s="8"/>
      <c r="F44" s="8"/>
      <c r="G44" s="8"/>
      <c r="H44" s="8"/>
      <c r="I44" s="8"/>
      <c r="J44" s="8"/>
      <c r="K44" s="8"/>
      <c r="L44" s="9" t="s">
        <v>89</v>
      </c>
      <c r="M44" s="189">
        <f>Coordonnées!E45</f>
        <v>0</v>
      </c>
    </row>
    <row r="45" spans="1:16" ht="15">
      <c r="A45" s="8"/>
      <c r="B45" s="356" t="s">
        <v>128</v>
      </c>
      <c r="C45" s="357"/>
      <c r="D45" s="358"/>
      <c r="E45" s="8"/>
      <c r="F45" s="8"/>
      <c r="G45" s="8"/>
      <c r="H45" s="8"/>
      <c r="I45" s="12">
        <f>IF(OR($F$35=1,$F$36=1,$F$38=1,$F$39=1,$F$40=1,$F$35=2,$F$36=2,$F$38=2,$F$39=2,$F$40=2,),250,0)</f>
        <v>0</v>
      </c>
      <c r="J45" s="8"/>
      <c r="K45" s="8"/>
      <c r="L45" s="9" t="s">
        <v>74</v>
      </c>
      <c r="M45" s="190">
        <f>Coordonnées!K7</f>
        <v>0</v>
      </c>
    </row>
    <row r="46" spans="1:16">
      <c r="A46" s="8"/>
      <c r="B46" s="8"/>
      <c r="C46" s="8"/>
      <c r="D46" s="8"/>
      <c r="E46" s="8"/>
      <c r="F46" s="8"/>
      <c r="G46" s="8"/>
      <c r="H46" s="8"/>
      <c r="I46" s="8"/>
      <c r="J46" s="8"/>
      <c r="K46" s="8"/>
      <c r="L46" s="9" t="s">
        <v>101</v>
      </c>
      <c r="M46" s="189">
        <f>YEAR($M$45)</f>
        <v>1900</v>
      </c>
    </row>
    <row r="47" spans="1:16" ht="15.75" thickBot="1">
      <c r="A47" s="313" t="s">
        <v>129</v>
      </c>
      <c r="B47" s="313"/>
      <c r="C47" s="313"/>
      <c r="D47" s="313"/>
      <c r="E47" s="313"/>
      <c r="F47" s="313"/>
      <c r="G47" s="313"/>
      <c r="H47" s="8"/>
      <c r="I47" s="8"/>
      <c r="J47" s="8"/>
      <c r="K47" s="8"/>
      <c r="L47" s="9" t="s">
        <v>103</v>
      </c>
      <c r="M47" s="191">
        <f ca="1">ROUNDDOWN(($M$48-$M$45)/365,0)</f>
        <v>124</v>
      </c>
      <c r="N47" s="9" t="s">
        <v>130</v>
      </c>
    </row>
    <row r="48" spans="1:16">
      <c r="A48" s="8"/>
      <c r="B48" s="8"/>
      <c r="C48" s="8"/>
      <c r="D48" s="8"/>
      <c r="E48" s="8"/>
      <c r="F48" s="8"/>
      <c r="G48" s="8"/>
      <c r="H48" s="8"/>
      <c r="I48" s="8"/>
      <c r="J48" s="8"/>
      <c r="K48" s="8"/>
      <c r="L48" s="11" t="s">
        <v>104</v>
      </c>
      <c r="M48" s="190">
        <f ca="1">TODAY()</f>
        <v>45483</v>
      </c>
    </row>
    <row r="49" spans="1:13">
      <c r="A49" s="8"/>
      <c r="B49" s="129" t="s">
        <v>327</v>
      </c>
      <c r="C49" s="129"/>
      <c r="D49" s="8"/>
      <c r="E49" s="8"/>
      <c r="F49" s="8"/>
      <c r="G49" s="8"/>
      <c r="H49" s="8"/>
      <c r="I49" s="8"/>
      <c r="J49" s="8"/>
      <c r="K49" s="8"/>
      <c r="L49" s="9" t="s">
        <v>102</v>
      </c>
      <c r="M49" s="189" t="str">
        <f ca="1">IF($M$46&lt;Coordonnées!$R$23,"Vétérans 4",IF($M$46&lt;Coordonnées!$T$22,"Vétérans 3",IF($M$46&lt;Coordonnées!$T$21,"Vétérans 2",IF($M$46&lt;=Coordonnées!$T$20,"Vétérans 1",IF($M$46&lt;Coordonnées!$R$19,"Senior",IF($M$46&lt;Coordonnées!$R$15,"M20",IF($M$46&lt;Coordonnées!$R$13,"M17",IF($M$46&lt;Coordonnées!$R$11,"M15",IF($M$46&lt;Coordonnées!$R$9,"M13",IF($M$46&lt;Coordonnées!$R$7,"M9",IF($M$46&lt;Coordonnées!$R$5,"M7",IF($M$46&lt;Coordonnées!$R$26,"M5",IF($M$46&lt;$M$51,"Trop jeune")))))))))))))</f>
        <v>Vétérans 4</v>
      </c>
    </row>
    <row r="50" spans="1:13">
      <c r="A50" s="8"/>
      <c r="B50" s="8"/>
      <c r="C50" s="8"/>
      <c r="D50" s="8"/>
      <c r="E50" s="8"/>
      <c r="F50" s="8"/>
      <c r="G50" s="8"/>
      <c r="H50" s="8"/>
      <c r="I50" s="8"/>
      <c r="J50" s="8"/>
      <c r="K50" s="8"/>
      <c r="L50" s="9" t="s">
        <v>131</v>
      </c>
      <c r="M50" s="189">
        <f>Sommaire!$J$23</f>
        <v>0</v>
      </c>
    </row>
    <row r="51" spans="1:13" ht="15.75" thickBot="1">
      <c r="A51" s="313" t="s">
        <v>64</v>
      </c>
      <c r="B51" s="313"/>
      <c r="C51" s="313"/>
      <c r="D51" s="313"/>
      <c r="E51" s="313"/>
      <c r="F51" s="313"/>
      <c r="G51" s="8"/>
      <c r="H51" s="8"/>
      <c r="I51" s="8"/>
      <c r="J51" s="8"/>
      <c r="K51" s="8"/>
      <c r="L51" s="9" t="s">
        <v>108</v>
      </c>
      <c r="M51" s="189">
        <f ca="1">(YEAR($M$48))+1</f>
        <v>2025</v>
      </c>
    </row>
    <row r="52" spans="1:13">
      <c r="A52" s="8"/>
      <c r="B52" s="8"/>
      <c r="C52" s="8"/>
      <c r="D52" s="8"/>
      <c r="E52" s="8"/>
      <c r="F52" s="8"/>
      <c r="G52" s="8"/>
      <c r="H52" s="8"/>
      <c r="I52" s="8"/>
      <c r="J52" s="8"/>
      <c r="K52" s="8"/>
      <c r="L52" s="9" t="s">
        <v>109</v>
      </c>
      <c r="M52" s="189">
        <f ca="1">(YEAR($M$48))-1</f>
        <v>2023</v>
      </c>
    </row>
    <row r="53" spans="1:13" ht="14.25">
      <c r="A53" s="8"/>
      <c r="B53" s="21" t="str">
        <f>IF(M3=0,"Complété","A compléter")</f>
        <v>A compléter</v>
      </c>
      <c r="C53" s="8"/>
      <c r="D53" s="20" t="str">
        <f>"Il reste "&amp;M3&amp;" zones obligatoires à renseigner (et "&amp;M34&amp;" zones optionnelles)"</f>
        <v>Il reste 2 zones obligatoires à renseigner (et 7 zones optionnelles)</v>
      </c>
      <c r="E53" s="8"/>
      <c r="F53" s="8"/>
      <c r="G53" s="8"/>
      <c r="H53" s="8"/>
      <c r="I53" s="8"/>
      <c r="J53" s="8"/>
      <c r="K53" s="8"/>
      <c r="L53" s="9" t="s">
        <v>111</v>
      </c>
      <c r="M53" s="189">
        <f ca="1">(YEAR($M$48))</f>
        <v>2024</v>
      </c>
    </row>
    <row r="54" spans="1:13">
      <c r="A54" s="8"/>
      <c r="B54" s="8"/>
      <c r="C54" s="8"/>
      <c r="D54" s="8"/>
      <c r="E54" s="8"/>
      <c r="F54" s="8"/>
      <c r="G54" s="8"/>
      <c r="H54" s="8"/>
      <c r="I54" s="8"/>
      <c r="J54" s="8"/>
      <c r="K54" s="8"/>
    </row>
    <row r="55" spans="1:13" ht="14.25">
      <c r="A55" s="8"/>
      <c r="B55" s="8"/>
      <c r="C55" s="8"/>
      <c r="D55" s="8"/>
      <c r="E55" s="8"/>
      <c r="F55" s="8"/>
      <c r="G55" s="8"/>
      <c r="H55" s="8"/>
      <c r="I55" s="312" t="s">
        <v>65</v>
      </c>
      <c r="J55" s="312"/>
      <c r="K55" s="268"/>
    </row>
    <row r="56" spans="1:13">
      <c r="A56" s="8"/>
      <c r="B56" s="8"/>
      <c r="C56" s="8"/>
      <c r="D56" s="8"/>
      <c r="E56" s="8"/>
      <c r="F56" s="8"/>
      <c r="G56" s="8"/>
      <c r="H56" s="8"/>
      <c r="I56" s="8"/>
      <c r="J56" s="8"/>
      <c r="K56" s="8"/>
    </row>
  </sheetData>
  <sheetProtection password="E8DD" sheet="1" objects="1" scenarios="1"/>
  <mergeCells count="20">
    <mergeCell ref="I1:J1"/>
    <mergeCell ref="B45:D45"/>
    <mergeCell ref="B39:D39"/>
    <mergeCell ref="B40:D40"/>
    <mergeCell ref="B10:D10"/>
    <mergeCell ref="A2:D2"/>
    <mergeCell ref="D14:F14"/>
    <mergeCell ref="A4:G4"/>
    <mergeCell ref="A30:G30"/>
    <mergeCell ref="B35:D35"/>
    <mergeCell ref="B36:D36"/>
    <mergeCell ref="B43:D43"/>
    <mergeCell ref="B12:D12"/>
    <mergeCell ref="B11:D11"/>
    <mergeCell ref="B37:D37"/>
    <mergeCell ref="I55:J55"/>
    <mergeCell ref="A47:G47"/>
    <mergeCell ref="A51:F51"/>
    <mergeCell ref="E16:F16"/>
    <mergeCell ref="B38:D38"/>
  </mergeCells>
  <conditionalFormatting sqref="B53">
    <cfRule type="expression" dxfId="13" priority="8" stopIfTrue="1">
      <formula>IF($B$53="Complété",TRUE,FALSE)</formula>
    </cfRule>
  </conditionalFormatting>
  <dataValidations count="4">
    <dataValidation type="list" allowBlank="1" showInputMessage="1" showErrorMessage="1" sqref="F35:F40">
      <formula1>"0,1,2"</formula1>
    </dataValidation>
    <dataValidation type="list" allowBlank="1" showInputMessage="1" showErrorMessage="1" sqref="F21:F22 F24">
      <formula1>"Oui,Non"</formula1>
    </dataValidation>
    <dataValidation type="list" allowBlank="1" showInputMessage="1" showErrorMessage="1" sqref="D14:F14">
      <formula1>"Tarif de base,Tarif sans licence (1),Tarif licence seul (2)"</formula1>
    </dataValidation>
    <dataValidation type="list" allowBlank="1" showInputMessage="1" showErrorMessage="1" sqref="E16:F16">
      <formula1>"3 Chèques,Helloasso (3 virements),Chèque unique,Virement bancaire unique,Helloasso (virement unique)"</formula1>
    </dataValidation>
  </dataValidations>
  <hyperlinks>
    <hyperlink ref="I55" location="Sommaire!C31" display="Revenir au sommaire"/>
    <hyperlink ref="I1" location="Sommaire!C31" display="Revenir au sommaire"/>
    <hyperlink ref="I55:J55" location="Autorisations!J8" display="Rubrique suivante"/>
    <hyperlink ref="I1:J1" location="Sommaire!C34" display="Revenir au sommaire"/>
    <hyperlink ref="E7" r:id="rId1"/>
  </hyperlinks>
  <pageMargins left="0.78740157480314965" right="0.78740157480314965" top="1.0236220472440944" bottom="1.0236220472440944" header="0.78740157480314965" footer="0.78740157480314965"/>
  <pageSetup paperSize="9" scale="67" orientation="portrait" horizontalDpi="300" verticalDpi="300" r:id="rId2"/>
  <headerFooter alignWithMargins="0">
    <oddHeader>&amp;C&amp;A</oddHeader>
    <oddFooter>&amp;RPage 4/5</oddFooter>
  </headerFooter>
  <drawing r:id="rId3"/>
</worksheet>
</file>

<file path=xl/worksheets/sheet5.xml><?xml version="1.0" encoding="utf-8"?>
<worksheet xmlns="http://schemas.openxmlformats.org/spreadsheetml/2006/main" xmlns:r="http://schemas.openxmlformats.org/officeDocument/2006/relationships">
  <sheetPr codeName="Feuil5">
    <tabColor theme="7"/>
    <pageSetUpPr fitToPage="1"/>
  </sheetPr>
  <dimension ref="A1:M25"/>
  <sheetViews>
    <sheetView zoomScale="120" zoomScaleNormal="120" workbookViewId="0">
      <selection activeCell="J8" sqref="J8"/>
    </sheetView>
  </sheetViews>
  <sheetFormatPr baseColWidth="10" defaultColWidth="11.5703125" defaultRowHeight="12.75"/>
  <cols>
    <col min="1" max="1" width="5.140625" style="9" customWidth="1"/>
    <col min="2" max="2" width="13.85546875" style="9" customWidth="1"/>
    <col min="3" max="3" width="11.5703125" style="9" customWidth="1"/>
    <col min="4" max="4" width="14.42578125" style="9" customWidth="1"/>
    <col min="5" max="5" width="11.5703125" style="9"/>
    <col min="6" max="6" width="15.28515625" style="9" customWidth="1"/>
    <col min="7" max="8" width="11.5703125" style="9" customWidth="1"/>
    <col min="9" max="9" width="3" style="9" customWidth="1"/>
    <col min="10" max="10" width="11.5703125" style="9"/>
    <col min="11" max="11" width="11.5703125" style="9" customWidth="1"/>
    <col min="12" max="13" width="11.5703125" style="9" hidden="1" customWidth="1"/>
    <col min="14" max="16384" width="11.5703125" style="9"/>
  </cols>
  <sheetData>
    <row r="1" spans="1:13" ht="14.25">
      <c r="A1" s="8"/>
      <c r="B1" s="8"/>
      <c r="C1" s="8"/>
      <c r="D1" s="8"/>
      <c r="E1" s="8"/>
      <c r="F1" s="8"/>
      <c r="G1" s="8"/>
      <c r="H1" s="8"/>
      <c r="I1" s="8"/>
      <c r="J1" s="312" t="s">
        <v>29</v>
      </c>
      <c r="K1" s="312"/>
      <c r="L1" s="9" t="s">
        <v>113</v>
      </c>
    </row>
    <row r="2" spans="1:13" ht="27" thickBot="1">
      <c r="A2" s="375" t="s">
        <v>132</v>
      </c>
      <c r="B2" s="375"/>
      <c r="C2" s="375"/>
      <c r="D2" s="375"/>
      <c r="E2" s="8"/>
      <c r="F2" s="8"/>
      <c r="G2" s="8"/>
      <c r="H2" s="8"/>
      <c r="I2" s="8"/>
      <c r="J2" s="8"/>
      <c r="K2" s="8"/>
    </row>
    <row r="3" spans="1:13" ht="13.5" thickTop="1">
      <c r="A3" s="8"/>
      <c r="B3" s="8"/>
      <c r="C3" s="8"/>
      <c r="D3" s="8"/>
      <c r="E3" s="8"/>
      <c r="F3" s="8"/>
      <c r="G3" s="8"/>
      <c r="H3" s="8"/>
      <c r="I3" s="8"/>
      <c r="J3" s="8"/>
      <c r="K3" s="8"/>
      <c r="L3" s="9" t="s">
        <v>30</v>
      </c>
      <c r="M3" s="9">
        <f>SUM(M4:M6)</f>
        <v>3</v>
      </c>
    </row>
    <row r="4" spans="1:13" ht="15.75" thickBot="1">
      <c r="A4" s="313" t="s">
        <v>132</v>
      </c>
      <c r="B4" s="313"/>
      <c r="C4" s="313"/>
      <c r="D4" s="313"/>
      <c r="E4" s="313"/>
      <c r="F4" s="313"/>
      <c r="G4" s="313"/>
      <c r="H4" s="215"/>
      <c r="I4" s="10"/>
      <c r="J4" s="8"/>
      <c r="K4" s="8"/>
      <c r="L4" s="9" t="s">
        <v>133</v>
      </c>
      <c r="M4" s="9">
        <f>IF(ISBLANK(J8),1,0)</f>
        <v>1</v>
      </c>
    </row>
    <row r="5" spans="1:13">
      <c r="A5" s="8"/>
      <c r="B5" s="8"/>
      <c r="C5" s="8"/>
      <c r="D5" s="8"/>
      <c r="E5" s="8"/>
      <c r="F5" s="8"/>
      <c r="G5" s="8"/>
      <c r="H5" s="8"/>
      <c r="I5" s="8"/>
      <c r="J5" s="8"/>
      <c r="K5" s="8"/>
      <c r="L5" s="9" t="s">
        <v>134</v>
      </c>
      <c r="M5" s="9">
        <f>IF(ISBLANK(J12),1,0)</f>
        <v>1</v>
      </c>
    </row>
    <row r="6" spans="1:13" ht="12.75" customHeight="1">
      <c r="A6" s="8"/>
      <c r="B6" s="366" t="s">
        <v>135</v>
      </c>
      <c r="C6" s="367"/>
      <c r="D6" s="367"/>
      <c r="E6" s="367"/>
      <c r="F6" s="367"/>
      <c r="G6" s="367"/>
      <c r="H6" s="368"/>
      <c r="I6" s="8"/>
      <c r="J6" s="8"/>
      <c r="K6" s="8"/>
      <c r="L6" s="9" t="s">
        <v>136</v>
      </c>
      <c r="M6" s="9">
        <f>IF(ISBLANK(J16),1,0)</f>
        <v>1</v>
      </c>
    </row>
    <row r="7" spans="1:13" ht="12.75" customHeight="1" thickBot="1">
      <c r="A7" s="8"/>
      <c r="B7" s="369"/>
      <c r="C7" s="370"/>
      <c r="D7" s="370"/>
      <c r="E7" s="370"/>
      <c r="F7" s="370"/>
      <c r="G7" s="370"/>
      <c r="H7" s="371"/>
      <c r="I7" s="8"/>
      <c r="J7" s="8"/>
      <c r="K7" s="8"/>
    </row>
    <row r="8" spans="1:13" ht="15" customHeight="1" thickBot="1">
      <c r="A8" s="8"/>
      <c r="B8" s="372"/>
      <c r="C8" s="373"/>
      <c r="D8" s="373"/>
      <c r="E8" s="373"/>
      <c r="F8" s="373"/>
      <c r="G8" s="373"/>
      <c r="H8" s="374"/>
      <c r="I8" s="55"/>
      <c r="J8" s="56"/>
      <c r="K8" s="8"/>
    </row>
    <row r="9" spans="1:13">
      <c r="A9" s="8"/>
      <c r="B9" s="8"/>
      <c r="C9" s="8"/>
      <c r="D9" s="8"/>
      <c r="E9" s="8"/>
      <c r="F9" s="8"/>
      <c r="G9" s="8"/>
      <c r="H9" s="8"/>
      <c r="I9" s="8"/>
      <c r="J9" s="13"/>
      <c r="K9" s="8"/>
    </row>
    <row r="10" spans="1:13" ht="15" customHeight="1">
      <c r="A10" s="8"/>
      <c r="B10" s="366" t="s">
        <v>137</v>
      </c>
      <c r="C10" s="367"/>
      <c r="D10" s="367"/>
      <c r="E10" s="367"/>
      <c r="F10" s="367"/>
      <c r="G10" s="367"/>
      <c r="H10" s="368"/>
      <c r="I10" s="8"/>
      <c r="J10" s="8"/>
      <c r="K10" s="8"/>
    </row>
    <row r="11" spans="1:13" ht="15" customHeight="1" thickBot="1">
      <c r="A11" s="8"/>
      <c r="B11" s="369"/>
      <c r="C11" s="370"/>
      <c r="D11" s="370"/>
      <c r="E11" s="370"/>
      <c r="F11" s="370"/>
      <c r="G11" s="370"/>
      <c r="H11" s="371"/>
      <c r="I11" s="8"/>
      <c r="J11" s="8"/>
      <c r="K11" s="8"/>
    </row>
    <row r="12" spans="1:13" ht="15" customHeight="1" thickBot="1">
      <c r="A12" s="8"/>
      <c r="B12" s="372"/>
      <c r="C12" s="373"/>
      <c r="D12" s="373"/>
      <c r="E12" s="373"/>
      <c r="F12" s="373"/>
      <c r="G12" s="373"/>
      <c r="H12" s="374"/>
      <c r="I12" s="8"/>
      <c r="J12" s="56"/>
      <c r="K12" s="8"/>
    </row>
    <row r="13" spans="1:13">
      <c r="A13" s="8"/>
      <c r="B13" s="8"/>
      <c r="C13" s="8"/>
      <c r="D13" s="8"/>
      <c r="E13" s="8"/>
      <c r="F13" s="8"/>
      <c r="G13" s="8"/>
      <c r="H13" s="8"/>
      <c r="I13" s="8"/>
      <c r="J13" s="8"/>
      <c r="K13" s="8"/>
    </row>
    <row r="14" spans="1:13" ht="15" customHeight="1">
      <c r="A14" s="8"/>
      <c r="B14" s="366" t="s">
        <v>138</v>
      </c>
      <c r="C14" s="367"/>
      <c r="D14" s="367"/>
      <c r="E14" s="367"/>
      <c r="F14" s="367"/>
      <c r="G14" s="367"/>
      <c r="H14" s="368"/>
      <c r="I14" s="8"/>
      <c r="J14" s="8"/>
      <c r="K14" s="8"/>
    </row>
    <row r="15" spans="1:13" ht="15" customHeight="1" thickBot="1">
      <c r="A15" s="8"/>
      <c r="B15" s="369"/>
      <c r="C15" s="370"/>
      <c r="D15" s="370"/>
      <c r="E15" s="370"/>
      <c r="F15" s="370"/>
      <c r="G15" s="370"/>
      <c r="H15" s="371"/>
      <c r="I15" s="8"/>
      <c r="J15" s="8"/>
      <c r="K15" s="8"/>
    </row>
    <row r="16" spans="1:13" ht="15" customHeight="1" thickBot="1">
      <c r="A16" s="8"/>
      <c r="B16" s="372"/>
      <c r="C16" s="373"/>
      <c r="D16" s="373"/>
      <c r="E16" s="373"/>
      <c r="F16" s="373"/>
      <c r="G16" s="373"/>
      <c r="H16" s="374"/>
      <c r="I16" s="8"/>
      <c r="J16" s="56"/>
      <c r="K16" s="8"/>
    </row>
    <row r="17" spans="1:11">
      <c r="A17" s="8"/>
      <c r="B17" s="8"/>
      <c r="C17" s="8"/>
      <c r="D17" s="8"/>
      <c r="E17" s="8"/>
      <c r="F17" s="8"/>
      <c r="G17" s="8"/>
      <c r="H17" s="8"/>
      <c r="I17" s="8"/>
      <c r="J17" s="8"/>
      <c r="K17" s="8"/>
    </row>
    <row r="18" spans="1:11" ht="15.75" thickBot="1">
      <c r="A18" s="313" t="s">
        <v>64</v>
      </c>
      <c r="B18" s="313"/>
      <c r="C18" s="313"/>
      <c r="D18" s="313"/>
      <c r="E18" s="313"/>
      <c r="F18" s="313"/>
      <c r="G18" s="313"/>
      <c r="H18" s="215"/>
      <c r="I18" s="8"/>
      <c r="J18" s="8"/>
      <c r="K18" s="8"/>
    </row>
    <row r="19" spans="1:11">
      <c r="A19" s="8"/>
      <c r="B19" s="8"/>
      <c r="C19" s="8"/>
      <c r="D19" s="8"/>
      <c r="E19" s="8"/>
      <c r="F19" s="8"/>
      <c r="G19" s="8"/>
      <c r="H19" s="8"/>
      <c r="I19" s="8"/>
      <c r="J19" s="8"/>
      <c r="K19" s="8"/>
    </row>
    <row r="20" spans="1:11" ht="14.25">
      <c r="A20" s="8"/>
      <c r="B20" s="21" t="str">
        <f>IF(M3=0,"Complété","A compléter")</f>
        <v>A compléter</v>
      </c>
      <c r="C20" s="8"/>
      <c r="D20" s="20" t="str">
        <f>"Il reste "&amp;M3&amp;" zones obligatoires à renseigner."</f>
        <v>Il reste 3 zones obligatoires à renseigner.</v>
      </c>
      <c r="E20" s="8"/>
      <c r="F20" s="8"/>
      <c r="G20" s="8"/>
      <c r="H20" s="8"/>
      <c r="I20" s="8"/>
      <c r="J20" s="8"/>
      <c r="K20" s="8"/>
    </row>
    <row r="21" spans="1:11">
      <c r="A21" s="8"/>
      <c r="B21" s="8"/>
      <c r="C21" s="8"/>
      <c r="D21" s="8"/>
      <c r="E21" s="8"/>
      <c r="F21" s="8"/>
      <c r="G21" s="8"/>
      <c r="H21" s="8"/>
      <c r="I21" s="8"/>
      <c r="J21" s="8"/>
      <c r="K21" s="8"/>
    </row>
    <row r="22" spans="1:11" ht="14.25">
      <c r="A22" s="8"/>
      <c r="B22" s="8"/>
      <c r="C22" s="8"/>
      <c r="D22" s="8"/>
      <c r="E22" s="8"/>
      <c r="F22" s="8"/>
      <c r="G22" s="8"/>
      <c r="H22" s="8"/>
      <c r="I22" s="8"/>
      <c r="J22" s="312" t="s">
        <v>29</v>
      </c>
      <c r="K22" s="312"/>
    </row>
    <row r="23" spans="1:11">
      <c r="A23" s="8"/>
      <c r="B23" s="8"/>
      <c r="C23" s="8"/>
      <c r="D23" s="8"/>
      <c r="E23" s="8"/>
      <c r="F23" s="8"/>
      <c r="G23" s="8"/>
      <c r="H23" s="8"/>
      <c r="I23" s="8"/>
      <c r="J23" s="8"/>
      <c r="K23" s="8"/>
    </row>
    <row r="24" spans="1:11">
      <c r="A24" s="14" t="s">
        <v>139</v>
      </c>
      <c r="B24" s="8"/>
      <c r="C24" s="8"/>
      <c r="D24" s="8"/>
      <c r="E24" s="8"/>
      <c r="F24" s="8"/>
      <c r="G24" s="8"/>
      <c r="H24" s="8"/>
      <c r="I24" s="8"/>
      <c r="J24" s="8"/>
      <c r="K24" s="8"/>
    </row>
    <row r="25" spans="1:11">
      <c r="A25" s="8"/>
      <c r="B25" s="8"/>
      <c r="C25" s="8"/>
      <c r="D25" s="8"/>
      <c r="E25" s="8"/>
      <c r="F25" s="8"/>
      <c r="G25" s="8"/>
      <c r="H25" s="8"/>
      <c r="I25" s="8"/>
      <c r="J25" s="8"/>
      <c r="K25" s="8"/>
    </row>
  </sheetData>
  <sheetProtection password="E8DD" sheet="1" objects="1" scenarios="1"/>
  <mergeCells count="8">
    <mergeCell ref="J1:K1"/>
    <mergeCell ref="A4:G4"/>
    <mergeCell ref="J22:K22"/>
    <mergeCell ref="B6:H8"/>
    <mergeCell ref="B10:H12"/>
    <mergeCell ref="B14:H16"/>
    <mergeCell ref="A18:G18"/>
    <mergeCell ref="A2:D2"/>
  </mergeCells>
  <conditionalFormatting sqref="B20">
    <cfRule type="expression" dxfId="12" priority="2" stopIfTrue="1">
      <formula>IF($B$20="Complété",TRUE,FALSE)</formula>
    </cfRule>
  </conditionalFormatting>
  <dataValidations count="1">
    <dataValidation type="list" allowBlank="1" showInputMessage="1" showErrorMessage="1" sqref="J8 J12 J16">
      <formula1>"Oui,Non"</formula1>
    </dataValidation>
  </dataValidations>
  <hyperlinks>
    <hyperlink ref="J22" location="Sommaire!C31" display="Revenir au sommaire"/>
    <hyperlink ref="J1" location="Sommaire!C31" display="Revenir au sommaire"/>
    <hyperlink ref="J1:K1" location="Sommaire!C38" display="Revenir au sommaire"/>
    <hyperlink ref="J22:K22" location="Sommaire!C38" display="Revenir au sommaire"/>
  </hyperlinks>
  <pageMargins left="0.78740157480314965" right="0.78740157480314965" top="1.0236220472440944" bottom="1.0236220472440944" header="0.78740157480314965" footer="0.78740157480314965"/>
  <pageSetup paperSize="9" scale="71" orientation="portrait" horizontalDpi="300" verticalDpi="300" r:id="rId1"/>
  <headerFooter alignWithMargins="0">
    <oddHeader>&amp;C&amp;A</oddHeader>
    <oddFooter>&amp;RPage 5/5</oddFooter>
  </headerFooter>
</worksheet>
</file>

<file path=xl/worksheets/sheet6.xml><?xml version="1.0" encoding="utf-8"?>
<worksheet xmlns="http://schemas.openxmlformats.org/spreadsheetml/2006/main" xmlns:r="http://schemas.openxmlformats.org/officeDocument/2006/relationships">
  <sheetPr codeName="Feuil6">
    <tabColor theme="1"/>
    <pageSetUpPr fitToPage="1"/>
  </sheetPr>
  <dimension ref="A1:AH80"/>
  <sheetViews>
    <sheetView showGridLines="0" zoomScale="80" zoomScaleNormal="80" zoomScaleSheetLayoutView="100" workbookViewId="0">
      <selection activeCell="I3" sqref="I3"/>
    </sheetView>
  </sheetViews>
  <sheetFormatPr baseColWidth="10" defaultColWidth="11.5703125" defaultRowHeight="12.75"/>
  <cols>
    <col min="1" max="1" width="1" style="3" customWidth="1"/>
    <col min="2" max="2" width="2.7109375" style="3" customWidth="1"/>
    <col min="3" max="3" width="3.140625" style="3" customWidth="1"/>
    <col min="4" max="5" width="2.7109375" style="3" customWidth="1"/>
    <col min="6" max="6" width="7.85546875" style="3" customWidth="1"/>
    <col min="7" max="9" width="2.7109375" style="3" customWidth="1"/>
    <col min="10" max="10" width="3.5703125" style="3" customWidth="1"/>
    <col min="11" max="11" width="7.42578125" style="3" customWidth="1"/>
    <col min="12" max="12" width="14.28515625" style="3" customWidth="1"/>
    <col min="13" max="13" width="4.85546875" style="3" customWidth="1"/>
    <col min="14" max="14" width="6" style="3" customWidth="1"/>
    <col min="15" max="18" width="2.7109375" style="3" customWidth="1"/>
    <col min="19" max="19" width="2.42578125" style="3" customWidth="1"/>
    <col min="20" max="21" width="2.7109375" style="3" customWidth="1"/>
    <col min="22" max="22" width="3" style="3" customWidth="1"/>
    <col min="23" max="23" width="2.7109375" style="3" customWidth="1"/>
    <col min="24" max="24" width="3.28515625" style="3" customWidth="1"/>
    <col min="25" max="25" width="4.85546875" style="3" customWidth="1"/>
    <col min="26" max="26" width="5.140625" style="3" customWidth="1"/>
    <col min="27" max="27" width="2.5703125" style="3" customWidth="1"/>
    <col min="28" max="30" width="3.7109375" style="3" customWidth="1"/>
    <col min="31" max="31" width="3.140625" style="3" customWidth="1"/>
    <col min="32" max="32" width="1.42578125" style="3" customWidth="1"/>
    <col min="33" max="34" width="11.5703125" style="3" customWidth="1"/>
    <col min="35" max="16384" width="11.5703125" style="3"/>
  </cols>
  <sheetData>
    <row r="1" spans="1:34" ht="4.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row>
    <row r="2" spans="1:34" ht="15.75">
      <c r="A2" s="2"/>
      <c r="B2" s="2"/>
      <c r="C2" s="2"/>
      <c r="D2" s="2"/>
      <c r="E2" s="2"/>
      <c r="F2" s="2"/>
      <c r="G2" s="35" t="s">
        <v>140</v>
      </c>
      <c r="H2" s="2"/>
      <c r="I2" s="2"/>
      <c r="J2" s="2"/>
      <c r="K2" s="2"/>
      <c r="L2" s="2"/>
      <c r="M2" s="2"/>
      <c r="N2" s="2"/>
      <c r="O2" s="2"/>
      <c r="P2" s="2"/>
      <c r="Q2" s="2"/>
      <c r="R2" s="2"/>
      <c r="S2" s="2"/>
      <c r="T2" s="2"/>
      <c r="U2" s="410" t="s">
        <v>1</v>
      </c>
      <c r="V2" s="410"/>
      <c r="W2" s="410"/>
      <c r="X2" s="409" t="str">
        <f>Sommaire!N2</f>
        <v>2024/2025</v>
      </c>
      <c r="Y2" s="409"/>
      <c r="Z2" s="409"/>
      <c r="AA2" s="409"/>
      <c r="AB2" s="409"/>
      <c r="AC2" s="409"/>
      <c r="AD2" s="409"/>
      <c r="AE2" s="409"/>
      <c r="AF2" s="2"/>
    </row>
    <row r="3" spans="1:34">
      <c r="A3" s="2"/>
      <c r="B3" s="2"/>
      <c r="C3" s="2"/>
      <c r="D3" s="2"/>
      <c r="E3" s="2"/>
      <c r="F3" s="2"/>
      <c r="G3" s="2"/>
      <c r="H3" s="2"/>
      <c r="I3" s="2"/>
      <c r="J3" s="2"/>
      <c r="K3" s="2"/>
      <c r="L3" s="2"/>
      <c r="M3" s="2"/>
      <c r="N3" s="2"/>
      <c r="O3" s="2"/>
      <c r="P3" s="2"/>
      <c r="Q3" s="2"/>
      <c r="R3" s="2"/>
      <c r="S3" s="2"/>
      <c r="T3" s="2"/>
      <c r="U3" s="410" t="s">
        <v>141</v>
      </c>
      <c r="V3" s="410"/>
      <c r="W3" s="410"/>
      <c r="X3" s="409" t="str">
        <f>Sommaire!K23</f>
        <v/>
      </c>
      <c r="Y3" s="409"/>
      <c r="Z3" s="409"/>
      <c r="AA3" s="409"/>
      <c r="AB3" s="409"/>
      <c r="AC3" s="409"/>
      <c r="AD3" s="409"/>
      <c r="AE3" s="409"/>
      <c r="AF3" s="2"/>
    </row>
    <row r="4" spans="1:34">
      <c r="A4" s="2"/>
      <c r="B4" s="2"/>
      <c r="C4" s="2"/>
      <c r="D4" s="2"/>
      <c r="E4" s="2"/>
      <c r="F4" s="2"/>
      <c r="G4" s="34"/>
      <c r="H4" s="49"/>
      <c r="I4" s="2"/>
      <c r="J4" s="36"/>
      <c r="K4" s="2"/>
      <c r="L4" s="2"/>
      <c r="M4" s="2"/>
      <c r="N4" s="2"/>
      <c r="O4" s="2"/>
      <c r="P4" s="2"/>
      <c r="Q4" s="2"/>
      <c r="R4" s="2"/>
      <c r="S4" s="2"/>
      <c r="T4" s="2"/>
      <c r="U4" s="410" t="s">
        <v>14</v>
      </c>
      <c r="V4" s="410"/>
      <c r="W4" s="410"/>
      <c r="X4" s="409" t="str">
        <f ca="1">IF(Sommaire!Q21=0,"Complet","Incomplet")</f>
        <v>Incomplet</v>
      </c>
      <c r="Y4" s="409"/>
      <c r="Z4" s="409"/>
      <c r="AA4" s="409"/>
      <c r="AB4" s="409"/>
      <c r="AC4" s="409"/>
      <c r="AD4" s="409"/>
      <c r="AE4" s="409"/>
      <c r="AF4" s="2"/>
      <c r="AG4" s="9"/>
      <c r="AH4" s="9"/>
    </row>
    <row r="5" spans="1:34">
      <c r="A5" s="2"/>
      <c r="B5" s="2"/>
      <c r="C5" s="2"/>
      <c r="D5" s="2"/>
      <c r="E5" s="2"/>
      <c r="F5" s="2"/>
      <c r="G5" s="34"/>
      <c r="H5" s="2"/>
      <c r="I5" s="2"/>
      <c r="J5" s="2"/>
      <c r="K5" s="2"/>
      <c r="L5" s="2"/>
      <c r="M5" s="2"/>
      <c r="N5" s="36"/>
      <c r="O5" s="2"/>
      <c r="P5" s="2"/>
      <c r="Q5" s="2"/>
      <c r="R5" s="2"/>
      <c r="S5" s="2"/>
      <c r="T5" s="2"/>
      <c r="U5" s="34" t="s">
        <v>142</v>
      </c>
      <c r="V5" s="2"/>
      <c r="W5" s="2"/>
      <c r="X5" s="2"/>
      <c r="Y5" s="2">
        <f>Cotisation!F21</f>
        <v>0</v>
      </c>
      <c r="Z5" s="2"/>
      <c r="AA5" s="2"/>
      <c r="AB5" s="2"/>
      <c r="AC5" s="220"/>
      <c r="AD5" s="220"/>
      <c r="AE5" s="220"/>
      <c r="AF5" s="2"/>
    </row>
    <row r="6" spans="1:34" ht="10.5" customHeight="1">
      <c r="A6" s="117"/>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2"/>
    </row>
    <row r="7" spans="1:34">
      <c r="A7" s="2"/>
      <c r="B7" s="124"/>
      <c r="C7" s="125" t="s">
        <v>143</v>
      </c>
      <c r="D7" s="125"/>
      <c r="E7" s="125"/>
      <c r="F7" s="5"/>
      <c r="G7" s="5"/>
      <c r="H7" s="5"/>
      <c r="I7" s="5"/>
      <c r="J7" s="5"/>
      <c r="K7" s="5"/>
      <c r="L7" s="5"/>
      <c r="M7" s="5"/>
      <c r="N7" s="5"/>
      <c r="O7" s="5"/>
      <c r="P7" s="5"/>
      <c r="Q7" s="5"/>
      <c r="R7" s="5"/>
      <c r="S7" s="5"/>
      <c r="T7" s="5"/>
      <c r="U7" s="5"/>
      <c r="V7" s="5"/>
      <c r="W7" s="5"/>
      <c r="X7" s="5"/>
      <c r="Y7" s="5"/>
      <c r="Z7" s="5"/>
      <c r="AA7" s="5"/>
      <c r="AB7" s="5"/>
      <c r="AC7" s="5"/>
      <c r="AD7" s="5"/>
      <c r="AE7" s="25"/>
      <c r="AF7" s="2"/>
    </row>
    <row r="8" spans="1:34">
      <c r="A8" s="2"/>
      <c r="B8" s="24"/>
      <c r="C8" s="78" t="str">
        <f>IF(Coordonnées!B7="Monsieur","M",IF(Coordonnées!B7="Madame","Mme",IF(Coordonnées!B7="Mademoiselle","Mlle","")))</f>
        <v/>
      </c>
      <c r="D8" s="376">
        <f>Coordonnées!D7</f>
        <v>0</v>
      </c>
      <c r="E8" s="376"/>
      <c r="F8" s="376"/>
      <c r="G8" s="376"/>
      <c r="H8" s="376"/>
      <c r="I8" s="376"/>
      <c r="J8" s="376"/>
      <c r="K8" s="376">
        <f>Coordonnées!H7</f>
        <v>0</v>
      </c>
      <c r="L8" s="376"/>
      <c r="M8" s="376"/>
      <c r="N8" s="120" t="str">
        <f>IF(C8="M","Né le","Née le")</f>
        <v>Née le</v>
      </c>
      <c r="O8" s="382">
        <f>Coordonnées!K7</f>
        <v>0</v>
      </c>
      <c r="P8" s="382"/>
      <c r="Q8" s="382"/>
      <c r="R8" s="382"/>
      <c r="S8" s="2" t="s">
        <v>72</v>
      </c>
      <c r="T8" s="377">
        <f>Coordonnées!H10</f>
        <v>0</v>
      </c>
      <c r="U8" s="377"/>
      <c r="V8" s="377"/>
      <c r="W8" s="377"/>
      <c r="X8" s="377"/>
      <c r="Y8" s="377"/>
      <c r="Z8" s="2" t="s">
        <v>262</v>
      </c>
      <c r="AA8" s="377">
        <f>Coordonnées!D10</f>
        <v>0</v>
      </c>
      <c r="AB8" s="377"/>
      <c r="AC8" s="377"/>
      <c r="AD8" s="377"/>
      <c r="AE8" s="378"/>
      <c r="AF8" s="2"/>
    </row>
    <row r="9" spans="1:34">
      <c r="A9" s="2"/>
      <c r="B9" s="7"/>
      <c r="C9" s="119" t="s">
        <v>76</v>
      </c>
      <c r="D9" s="122"/>
      <c r="E9" s="122"/>
      <c r="F9" s="383">
        <f>Coordonnées!B13</f>
        <v>0</v>
      </c>
      <c r="G9" s="383"/>
      <c r="H9" s="383"/>
      <c r="I9" s="383"/>
      <c r="J9" s="383"/>
      <c r="K9" s="383"/>
      <c r="L9" s="383"/>
      <c r="M9" s="383"/>
      <c r="N9" s="383"/>
      <c r="O9" s="383"/>
      <c r="P9" s="383"/>
      <c r="Q9" s="383"/>
      <c r="R9" s="383"/>
      <c r="S9" s="383"/>
      <c r="T9" s="383"/>
      <c r="U9" s="383"/>
      <c r="V9" s="383"/>
      <c r="W9" s="383"/>
      <c r="X9" s="383"/>
      <c r="Y9" s="383"/>
      <c r="Z9" s="383"/>
      <c r="AA9" s="383"/>
      <c r="AB9" s="383"/>
      <c r="AC9" s="383"/>
      <c r="AD9" s="116"/>
      <c r="AE9" s="27"/>
      <c r="AF9" s="2"/>
    </row>
    <row r="10" spans="1:34">
      <c r="A10" s="2"/>
      <c r="B10" s="7"/>
      <c r="C10" s="119" t="s">
        <v>79</v>
      </c>
      <c r="D10" s="119"/>
      <c r="E10" s="119"/>
      <c r="F10" s="119"/>
      <c r="G10" s="379">
        <f>Coordonnées!B16</f>
        <v>0</v>
      </c>
      <c r="H10" s="379"/>
      <c r="I10" s="379"/>
      <c r="J10" s="218"/>
      <c r="K10" s="119" t="s">
        <v>81</v>
      </c>
      <c r="L10" s="122"/>
      <c r="M10" s="379">
        <f>Coordonnées!D16</f>
        <v>0</v>
      </c>
      <c r="N10" s="379"/>
      <c r="O10" s="379"/>
      <c r="P10" s="379"/>
      <c r="Q10" s="379"/>
      <c r="R10" s="379"/>
      <c r="S10" s="379"/>
      <c r="T10" s="379"/>
      <c r="U10" s="379"/>
      <c r="V10" s="379"/>
      <c r="W10" s="379"/>
      <c r="X10" s="379"/>
      <c r="Y10" s="122" t="s">
        <v>263</v>
      </c>
      <c r="Z10" s="258">
        <f>Coordonnées!B10</f>
        <v>0</v>
      </c>
      <c r="AA10" s="258"/>
      <c r="AB10" s="258"/>
      <c r="AC10" s="258"/>
      <c r="AD10" s="121"/>
      <c r="AE10" s="259"/>
      <c r="AF10" s="2"/>
    </row>
    <row r="11" spans="1:34">
      <c r="A11" s="4"/>
      <c r="B11" s="7"/>
      <c r="C11" s="385" t="s">
        <v>144</v>
      </c>
      <c r="D11" s="385"/>
      <c r="E11" s="381">
        <f>Coordonnées!B19</f>
        <v>0</v>
      </c>
      <c r="F11" s="381"/>
      <c r="G11" s="381"/>
      <c r="H11" s="381"/>
      <c r="I11" s="381"/>
      <c r="J11" s="381"/>
      <c r="K11" s="381"/>
      <c r="L11" s="381"/>
      <c r="M11" s="381"/>
      <c r="N11" s="381"/>
      <c r="O11" s="381"/>
      <c r="P11" s="381"/>
      <c r="Q11" s="381"/>
      <c r="R11" s="381"/>
      <c r="S11" s="135"/>
      <c r="T11" s="136" t="s">
        <v>145</v>
      </c>
      <c r="U11" s="135"/>
      <c r="V11" s="117"/>
      <c r="W11" s="123"/>
      <c r="X11" s="386">
        <f>Coordonnées!H19</f>
        <v>0</v>
      </c>
      <c r="Y11" s="386"/>
      <c r="Z11" s="386"/>
      <c r="AA11" s="386"/>
      <c r="AB11" s="386"/>
      <c r="AC11" s="386"/>
      <c r="AD11" s="116"/>
      <c r="AE11" s="27"/>
      <c r="AF11" s="2"/>
    </row>
    <row r="12" spans="1:34">
      <c r="A12" s="2"/>
      <c r="B12" s="30"/>
      <c r="C12" s="387" t="s">
        <v>146</v>
      </c>
      <c r="D12" s="387"/>
      <c r="E12" s="387"/>
      <c r="F12" s="118" t="str">
        <f>IF(ISBLANK(Coordonnées!E45),"-",Coordonnées!E45)</f>
        <v>-</v>
      </c>
      <c r="G12" s="250"/>
      <c r="H12" s="384" t="str">
        <f>IF(ISBLANK(Coordonnées!E45),"-",IF(Coordonnées!E45="Débutant","",IF(Coordonnées!E45=1,"an","ans")))</f>
        <v>-</v>
      </c>
      <c r="I12" s="384"/>
      <c r="J12" s="118"/>
      <c r="K12" s="118"/>
      <c r="L12" s="264" t="s">
        <v>281</v>
      </c>
      <c r="M12" s="380" t="str">
        <f>IF(ISBLANK(Coordonnées!$K$45),"-",Coordonnées!$K$45)</f>
        <v>-</v>
      </c>
      <c r="N12" s="380"/>
      <c r="O12" s="380"/>
      <c r="P12" s="140" t="s">
        <v>147</v>
      </c>
      <c r="Q12" s="118"/>
      <c r="R12" s="118"/>
      <c r="S12" s="6"/>
      <c r="T12" s="380" t="str">
        <f>Coordonnées!$N$49</f>
        <v>-</v>
      </c>
      <c r="U12" s="380"/>
      <c r="V12" s="380"/>
      <c r="W12" s="380"/>
      <c r="X12" s="6"/>
      <c r="Y12" s="140" t="s">
        <v>256</v>
      </c>
      <c r="Z12" s="6"/>
      <c r="AA12" s="138" t="str">
        <f>IF(ISBLANK(Coordonnées!I$47),"-",Coordonnées!I$47)</f>
        <v>-</v>
      </c>
      <c r="AB12" s="6"/>
      <c r="AC12" s="138"/>
      <c r="AD12" s="138"/>
      <c r="AE12" s="255"/>
      <c r="AF12" s="2"/>
    </row>
    <row r="13" spans="1:34" ht="3.9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row>
    <row r="14" spans="1:34" ht="12.75" customHeight="1">
      <c r="A14" s="2"/>
      <c r="B14" s="124"/>
      <c r="C14" s="125" t="s">
        <v>148</v>
      </c>
      <c r="D14" s="125"/>
      <c r="E14" s="125"/>
      <c r="F14" s="5"/>
      <c r="G14" s="5"/>
      <c r="H14" s="5"/>
      <c r="I14" s="5"/>
      <c r="J14" s="5"/>
      <c r="K14" s="5"/>
      <c r="L14" s="5"/>
      <c r="M14" s="5"/>
      <c r="N14" s="5"/>
      <c r="O14" s="5"/>
      <c r="P14" s="5"/>
      <c r="Q14" s="5"/>
      <c r="R14" s="5"/>
      <c r="S14" s="5"/>
      <c r="T14" s="5"/>
      <c r="U14" s="5"/>
      <c r="V14" s="5"/>
      <c r="W14" s="5"/>
      <c r="X14" s="5"/>
      <c r="Y14" s="5"/>
      <c r="Z14" s="5"/>
      <c r="AA14" s="5"/>
      <c r="AB14" s="5"/>
      <c r="AC14" s="5"/>
      <c r="AD14" s="5"/>
      <c r="AE14" s="25"/>
      <c r="AF14" s="2"/>
    </row>
    <row r="15" spans="1:34">
      <c r="A15" s="2"/>
      <c r="B15" s="24"/>
      <c r="C15" s="78" t="s">
        <v>71</v>
      </c>
      <c r="D15" s="78"/>
      <c r="E15" s="376" t="str">
        <f ca="1">IF(Coordonnées!D24="Ne pas remplir","X",Coordonnées!D24)</f>
        <v>X</v>
      </c>
      <c r="F15" s="376"/>
      <c r="G15" s="376"/>
      <c r="H15" s="376"/>
      <c r="I15" s="376"/>
      <c r="J15" s="376"/>
      <c r="K15" s="376"/>
      <c r="L15" s="119" t="s">
        <v>73</v>
      </c>
      <c r="M15" s="130"/>
      <c r="N15" s="130"/>
      <c r="O15" s="376" t="str">
        <f ca="1">IF(Coordonnées!H24="Ne pas remplir","X",Coordonnées!H24)</f>
        <v>X</v>
      </c>
      <c r="P15" s="376"/>
      <c r="Q15" s="376"/>
      <c r="R15" s="376"/>
      <c r="S15" s="376"/>
      <c r="T15" s="376"/>
      <c r="U15" s="376"/>
      <c r="V15" s="376"/>
      <c r="W15" s="376"/>
      <c r="X15" s="121"/>
      <c r="Y15" s="121"/>
      <c r="Z15" s="389"/>
      <c r="AA15" s="389"/>
      <c r="AB15" s="389"/>
      <c r="AC15" s="389"/>
      <c r="AD15" s="389"/>
      <c r="AE15" s="26"/>
      <c r="AF15" s="2"/>
    </row>
    <row r="16" spans="1:34" ht="12.75" customHeight="1">
      <c r="A16" s="2"/>
      <c r="B16" s="7"/>
      <c r="C16" s="119" t="s">
        <v>76</v>
      </c>
      <c r="D16" s="122"/>
      <c r="E16" s="122"/>
      <c r="F16" s="383" t="str">
        <f ca="1">IF(Coordonnées!B27="Ne pas remplir","     X",Coordonnées!B27)</f>
        <v xml:space="preserve">     X</v>
      </c>
      <c r="G16" s="383"/>
      <c r="H16" s="383"/>
      <c r="I16" s="383"/>
      <c r="J16" s="383"/>
      <c r="K16" s="383"/>
      <c r="L16" s="383"/>
      <c r="M16" s="383"/>
      <c r="N16" s="383"/>
      <c r="O16" s="383"/>
      <c r="P16" s="383"/>
      <c r="Q16" s="383"/>
      <c r="R16" s="383"/>
      <c r="S16" s="383"/>
      <c r="T16" s="383"/>
      <c r="U16" s="383"/>
      <c r="V16" s="383"/>
      <c r="W16" s="383"/>
      <c r="X16" s="383"/>
      <c r="Y16" s="383"/>
      <c r="Z16" s="383"/>
      <c r="AA16" s="383"/>
      <c r="AB16" s="383"/>
      <c r="AC16" s="383"/>
      <c r="AD16" s="383"/>
      <c r="AE16" s="27"/>
      <c r="AF16" s="2"/>
    </row>
    <row r="17" spans="1:32" ht="12.75" customHeight="1">
      <c r="A17" s="2"/>
      <c r="B17" s="7"/>
      <c r="C17" s="119" t="s">
        <v>79</v>
      </c>
      <c r="D17" s="119"/>
      <c r="E17" s="119"/>
      <c r="F17" s="119"/>
      <c r="G17" s="379" t="str">
        <f ca="1">IF(Coordonnées!B30="Ne pas remplir","X",Coordonnées!B30)</f>
        <v>X</v>
      </c>
      <c r="H17" s="379"/>
      <c r="I17" s="379"/>
      <c r="J17" s="218"/>
      <c r="K17" s="171"/>
      <c r="L17" s="269" t="s">
        <v>81</v>
      </c>
      <c r="M17" s="2"/>
      <c r="N17" s="383" t="str">
        <f ca="1">IF(Coordonnées!D30="Ne pas remplir","X",Coordonnées!D30)</f>
        <v>X</v>
      </c>
      <c r="O17" s="383"/>
      <c r="P17" s="383"/>
      <c r="Q17" s="383"/>
      <c r="R17" s="383"/>
      <c r="S17" s="383"/>
      <c r="T17" s="383"/>
      <c r="U17" s="383"/>
      <c r="V17" s="383"/>
      <c r="W17" s="383"/>
      <c r="X17" s="383"/>
      <c r="Y17" s="383"/>
      <c r="Z17" s="383"/>
      <c r="AA17" s="383"/>
      <c r="AB17" s="383"/>
      <c r="AC17" s="383"/>
      <c r="AD17" s="383"/>
      <c r="AE17" s="28"/>
      <c r="AF17" s="2"/>
    </row>
    <row r="18" spans="1:32" ht="12.75" customHeight="1">
      <c r="A18" s="2"/>
      <c r="B18" s="30"/>
      <c r="C18" s="387" t="s">
        <v>144</v>
      </c>
      <c r="D18" s="387"/>
      <c r="E18" s="395" t="str">
        <f ca="1">IF(Coordonnées!B33="Ne pas remplir","        X",Coordonnées!B33)</f>
        <v xml:space="preserve">        X</v>
      </c>
      <c r="F18" s="395"/>
      <c r="G18" s="395"/>
      <c r="H18" s="395"/>
      <c r="I18" s="395"/>
      <c r="J18" s="395"/>
      <c r="K18" s="395"/>
      <c r="L18" s="395"/>
      <c r="M18" s="395"/>
      <c r="N18" s="395"/>
      <c r="O18" s="395"/>
      <c r="P18" s="395"/>
      <c r="Q18" s="395"/>
      <c r="R18" s="395"/>
      <c r="S18" s="137"/>
      <c r="T18" s="138" t="s">
        <v>145</v>
      </c>
      <c r="U18" s="137"/>
      <c r="V18" s="131"/>
      <c r="W18" s="131"/>
      <c r="X18" s="394" t="str">
        <f>IF(Coordonnées!H33="","",Coordonnées!H33)</f>
        <v/>
      </c>
      <c r="Y18" s="394"/>
      <c r="Z18" s="394"/>
      <c r="AA18" s="394"/>
      <c r="AB18" s="394"/>
      <c r="AC18" s="394"/>
      <c r="AD18" s="132"/>
      <c r="AE18" s="32"/>
      <c r="AF18" s="2"/>
    </row>
    <row r="19" spans="1:32" ht="3.95"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row>
    <row r="20" spans="1:32">
      <c r="A20" s="2"/>
      <c r="B20" s="126"/>
      <c r="C20" s="127" t="s">
        <v>149</v>
      </c>
      <c r="D20" s="127"/>
      <c r="E20" s="127"/>
      <c r="F20" s="5"/>
      <c r="G20" s="5"/>
      <c r="H20" s="5"/>
      <c r="I20" s="5"/>
      <c r="J20" s="5"/>
      <c r="K20" s="5"/>
      <c r="L20" s="5"/>
      <c r="M20" s="5"/>
      <c r="N20" s="5"/>
      <c r="O20" s="5"/>
      <c r="P20" s="5"/>
      <c r="Q20" s="5"/>
      <c r="R20" s="5"/>
      <c r="S20" s="5"/>
      <c r="T20" s="5"/>
      <c r="U20" s="5"/>
      <c r="V20" s="5"/>
      <c r="W20" s="5"/>
      <c r="X20" s="5"/>
      <c r="Y20" s="5"/>
      <c r="Z20" s="5"/>
      <c r="AA20" s="5"/>
      <c r="AB20" s="5"/>
      <c r="AC20" s="5"/>
      <c r="AD20" s="5"/>
      <c r="AE20" s="25"/>
      <c r="AF20" s="2"/>
    </row>
    <row r="21" spans="1:32">
      <c r="A21" s="2"/>
      <c r="B21" s="7"/>
      <c r="C21" s="78" t="s">
        <v>71</v>
      </c>
      <c r="D21" s="78"/>
      <c r="E21" s="376">
        <f>Coordonnées!D38</f>
        <v>0</v>
      </c>
      <c r="F21" s="376"/>
      <c r="G21" s="376"/>
      <c r="H21" s="376"/>
      <c r="I21" s="376"/>
      <c r="J21" s="376"/>
      <c r="K21" s="376"/>
      <c r="L21" s="119" t="s">
        <v>73</v>
      </c>
      <c r="M21" s="78"/>
      <c r="N21" s="78"/>
      <c r="O21" s="376">
        <f>Coordonnées!H38</f>
        <v>0</v>
      </c>
      <c r="P21" s="376"/>
      <c r="Q21" s="376"/>
      <c r="R21" s="376"/>
      <c r="S21" s="376"/>
      <c r="T21" s="376"/>
      <c r="U21" s="376"/>
      <c r="V21" s="376"/>
      <c r="W21" s="376"/>
      <c r="X21" s="1"/>
      <c r="Y21" s="1"/>
      <c r="Z21" s="1"/>
      <c r="AA21" s="1"/>
      <c r="AB21" s="1"/>
      <c r="AC21" s="1"/>
      <c r="AD21" s="1"/>
      <c r="AE21" s="26"/>
      <c r="AF21" s="2"/>
    </row>
    <row r="22" spans="1:32">
      <c r="A22" s="2"/>
      <c r="B22" s="30"/>
      <c r="C22" s="139" t="s">
        <v>150</v>
      </c>
      <c r="D22" s="139"/>
      <c r="E22" s="140"/>
      <c r="F22" s="140"/>
      <c r="G22" s="388">
        <f>Coordonnées!B41</f>
        <v>0</v>
      </c>
      <c r="H22" s="388"/>
      <c r="I22" s="388"/>
      <c r="J22" s="388"/>
      <c r="K22" s="388"/>
      <c r="L22" s="388"/>
      <c r="M22" s="139"/>
      <c r="N22" s="139" t="s">
        <v>151</v>
      </c>
      <c r="O22" s="172"/>
      <c r="P22" s="172"/>
      <c r="Q22" s="172"/>
      <c r="R22" s="172"/>
      <c r="S22" s="388" t="str">
        <f>IF(Coordonnées!F41="","X",Coordonnées!F41)</f>
        <v>X</v>
      </c>
      <c r="T22" s="388"/>
      <c r="U22" s="388"/>
      <c r="V22" s="388"/>
      <c r="W22" s="388"/>
      <c r="X22" s="388"/>
      <c r="Y22" s="6"/>
      <c r="Z22" s="6"/>
      <c r="AA22" s="6"/>
      <c r="AB22" s="6"/>
      <c r="AC22" s="6"/>
      <c r="AD22" s="6"/>
      <c r="AE22" s="32"/>
      <c r="AF22" s="2"/>
    </row>
    <row r="23" spans="1:32" ht="3.95" customHeight="1">
      <c r="A23" s="2"/>
      <c r="B23" s="1"/>
      <c r="C23" s="217"/>
      <c r="D23" s="217"/>
      <c r="E23" s="217"/>
      <c r="F23" s="1"/>
      <c r="G23" s="116"/>
      <c r="H23" s="116"/>
      <c r="I23" s="1"/>
      <c r="J23" s="1"/>
      <c r="K23" s="1"/>
      <c r="L23" s="116"/>
      <c r="M23" s="116"/>
      <c r="N23" s="116"/>
      <c r="O23" s="1"/>
      <c r="P23" s="1"/>
      <c r="Q23" s="1"/>
      <c r="R23" s="1"/>
      <c r="S23" s="1"/>
      <c r="T23" s="33"/>
      <c r="U23" s="33"/>
      <c r="V23" s="33"/>
      <c r="W23" s="33"/>
      <c r="X23" s="1"/>
      <c r="Y23" s="1"/>
      <c r="Z23" s="1"/>
      <c r="AA23" s="1"/>
      <c r="AB23" s="1"/>
      <c r="AC23" s="1"/>
      <c r="AD23" s="1"/>
      <c r="AE23" s="1"/>
      <c r="AF23" s="2"/>
    </row>
    <row r="24" spans="1:32">
      <c r="A24" s="2"/>
      <c r="B24" s="392" t="s">
        <v>132</v>
      </c>
      <c r="C24" s="393"/>
      <c r="D24" s="393"/>
      <c r="E24" s="393"/>
      <c r="F24" s="393"/>
      <c r="G24" s="5"/>
      <c r="H24" s="5"/>
      <c r="I24" s="5"/>
      <c r="J24" s="5"/>
      <c r="K24" s="5"/>
      <c r="L24" s="5"/>
      <c r="M24" s="5"/>
      <c r="N24" s="5"/>
      <c r="O24" s="5"/>
      <c r="P24" s="5"/>
      <c r="Q24" s="5"/>
      <c r="R24" s="5"/>
      <c r="S24" s="5"/>
      <c r="T24" s="5"/>
      <c r="U24" s="5"/>
      <c r="V24" s="5"/>
      <c r="W24" s="5"/>
      <c r="X24" s="5"/>
      <c r="Y24" s="5"/>
      <c r="Z24" s="5"/>
      <c r="AA24" s="5"/>
      <c r="AB24" s="5"/>
      <c r="AC24" s="5"/>
      <c r="AD24" s="5"/>
      <c r="AE24" s="25"/>
      <c r="AF24" s="2"/>
    </row>
    <row r="25" spans="1:32">
      <c r="A25" s="2"/>
      <c r="B25" s="7"/>
      <c r="C25" s="390" t="s">
        <v>152</v>
      </c>
      <c r="D25" s="390"/>
      <c r="E25" s="390"/>
      <c r="F25" s="390"/>
      <c r="G25" s="390"/>
      <c r="H25" s="390"/>
      <c r="I25" s="390"/>
      <c r="J25" s="390"/>
      <c r="K25" s="390"/>
      <c r="L25" s="390"/>
      <c r="M25" s="390"/>
      <c r="N25" s="390"/>
      <c r="O25" s="390"/>
      <c r="P25" s="390"/>
      <c r="Q25" s="390"/>
      <c r="R25" s="390"/>
      <c r="S25" s="390"/>
      <c r="T25" s="390"/>
      <c r="U25" s="390"/>
      <c r="V25" s="390"/>
      <c r="W25" s="390"/>
      <c r="X25" s="390"/>
      <c r="Y25" s="390"/>
      <c r="Z25" s="397" t="str">
        <f>IF(Autorisations!J8="Oui","Autorisé","Non autorisé")</f>
        <v>Non autorisé</v>
      </c>
      <c r="AA25" s="397"/>
      <c r="AB25" s="397"/>
      <c r="AC25" s="397"/>
      <c r="AD25" s="397"/>
      <c r="AE25" s="28"/>
      <c r="AF25" s="2"/>
    </row>
    <row r="26" spans="1:32">
      <c r="A26" s="2"/>
      <c r="B26" s="7"/>
      <c r="C26" s="390" t="s">
        <v>153</v>
      </c>
      <c r="D26" s="390"/>
      <c r="E26" s="390"/>
      <c r="F26" s="390"/>
      <c r="G26" s="390"/>
      <c r="H26" s="390"/>
      <c r="I26" s="390"/>
      <c r="J26" s="390"/>
      <c r="K26" s="390"/>
      <c r="L26" s="390"/>
      <c r="M26" s="390"/>
      <c r="N26" s="390"/>
      <c r="O26" s="390"/>
      <c r="P26" s="390"/>
      <c r="Q26" s="390"/>
      <c r="R26" s="390"/>
      <c r="S26" s="390"/>
      <c r="T26" s="390"/>
      <c r="U26" s="390"/>
      <c r="V26" s="390"/>
      <c r="W26" s="390"/>
      <c r="X26" s="390"/>
      <c r="Y26" s="390"/>
      <c r="Z26" s="397" t="str">
        <f>IF(Autorisations!J12="Oui","Autorisé","Non autorisé")</f>
        <v>Non autorisé</v>
      </c>
      <c r="AA26" s="397"/>
      <c r="AB26" s="397"/>
      <c r="AC26" s="397"/>
      <c r="AD26" s="397"/>
      <c r="AE26" s="28"/>
      <c r="AF26" s="2"/>
    </row>
    <row r="27" spans="1:32">
      <c r="A27" s="2"/>
      <c r="B27" s="30"/>
      <c r="C27" s="391" t="s">
        <v>154</v>
      </c>
      <c r="D27" s="391"/>
      <c r="E27" s="391"/>
      <c r="F27" s="391"/>
      <c r="G27" s="391"/>
      <c r="H27" s="391"/>
      <c r="I27" s="391"/>
      <c r="J27" s="391"/>
      <c r="K27" s="391"/>
      <c r="L27" s="391"/>
      <c r="M27" s="391"/>
      <c r="N27" s="391"/>
      <c r="O27" s="391"/>
      <c r="P27" s="391"/>
      <c r="Q27" s="391"/>
      <c r="R27" s="391"/>
      <c r="S27" s="391"/>
      <c r="T27" s="391"/>
      <c r="U27" s="391"/>
      <c r="V27" s="391"/>
      <c r="W27" s="391"/>
      <c r="X27" s="391"/>
      <c r="Y27" s="391"/>
      <c r="Z27" s="398" t="str">
        <f>IF(Autorisations!J16="Oui","Autorisé","Non autorisé")</f>
        <v>Non autorisé</v>
      </c>
      <c r="AA27" s="398"/>
      <c r="AB27" s="398"/>
      <c r="AC27" s="398"/>
      <c r="AD27" s="398"/>
      <c r="AE27" s="29"/>
      <c r="AF27" s="2"/>
    </row>
    <row r="28" spans="1:32" ht="3.9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spans="1:32">
      <c r="A29" s="2"/>
      <c r="B29" s="124"/>
      <c r="C29" s="125" t="s">
        <v>18</v>
      </c>
      <c r="D29" s="125"/>
      <c r="E29" s="125"/>
      <c r="F29" s="5"/>
      <c r="G29" s="5"/>
      <c r="H29" s="5"/>
      <c r="I29" s="5"/>
      <c r="J29" s="5"/>
      <c r="K29" s="5"/>
      <c r="L29" s="5"/>
      <c r="M29" s="5"/>
      <c r="N29" s="5"/>
      <c r="O29" s="5"/>
      <c r="P29" s="5"/>
      <c r="Q29" s="5"/>
      <c r="R29" s="5"/>
      <c r="S29" s="5"/>
      <c r="T29" s="5"/>
      <c r="U29" s="5"/>
      <c r="V29" s="5"/>
      <c r="W29" s="5"/>
      <c r="X29" s="5"/>
      <c r="Y29" s="5"/>
      <c r="Z29" s="5"/>
      <c r="AA29" s="5"/>
      <c r="AB29" s="5"/>
      <c r="AC29" s="5"/>
      <c r="AD29" s="5"/>
      <c r="AE29" s="25"/>
      <c r="AF29" s="2"/>
    </row>
    <row r="30" spans="1:32" ht="12.75" customHeight="1">
      <c r="A30" s="2"/>
      <c r="B30" s="7"/>
      <c r="C30" s="408" t="str">
        <f ca="1">"Je soussigné(e)"&amp;" "&amp; IF(E15="X",D8&amp;" "&amp;K8,E15&amp;" "&amp;O15) &amp;" "&amp;"reconnait avoir été informé(e) des conditions d'assurance et choisir: "&amp;Assurance!D25</f>
        <v xml:space="preserve">Je soussigné(e) 0 0 reconnait avoir été informé(e) des conditions d'assurance et choisir: </v>
      </c>
      <c r="D30" s="408"/>
      <c r="E30" s="408"/>
      <c r="F30" s="408"/>
      <c r="G30" s="408"/>
      <c r="H30" s="408"/>
      <c r="I30" s="408"/>
      <c r="J30" s="408"/>
      <c r="K30" s="408"/>
      <c r="L30" s="408"/>
      <c r="M30" s="408"/>
      <c r="N30" s="408"/>
      <c r="O30" s="408"/>
      <c r="P30" s="408"/>
      <c r="Q30" s="408"/>
      <c r="R30" s="408"/>
      <c r="S30" s="408"/>
      <c r="T30" s="408"/>
      <c r="U30" s="408"/>
      <c r="V30" s="408"/>
      <c r="W30" s="408"/>
      <c r="X30" s="408"/>
      <c r="Y30" s="408"/>
      <c r="Z30" s="408"/>
      <c r="AA30" s="408"/>
      <c r="AB30" s="408"/>
      <c r="AC30" s="408"/>
      <c r="AD30" s="408"/>
      <c r="AE30" s="28"/>
      <c r="AF30" s="2"/>
    </row>
    <row r="31" spans="1:32" ht="12.75" customHeight="1">
      <c r="A31" s="2"/>
      <c r="B31" s="7"/>
      <c r="C31" s="408"/>
      <c r="D31" s="408"/>
      <c r="E31" s="408"/>
      <c r="F31" s="408"/>
      <c r="G31" s="408"/>
      <c r="H31" s="408"/>
      <c r="I31" s="408"/>
      <c r="J31" s="408"/>
      <c r="K31" s="408"/>
      <c r="L31" s="408"/>
      <c r="M31" s="408"/>
      <c r="N31" s="408"/>
      <c r="O31" s="408"/>
      <c r="P31" s="408"/>
      <c r="Q31" s="408"/>
      <c r="R31" s="408"/>
      <c r="S31" s="408"/>
      <c r="T31" s="408"/>
      <c r="U31" s="408"/>
      <c r="V31" s="408"/>
      <c r="W31" s="408"/>
      <c r="X31" s="408"/>
      <c r="Y31" s="408"/>
      <c r="Z31" s="408"/>
      <c r="AA31" s="408"/>
      <c r="AB31" s="408"/>
      <c r="AC31" s="408"/>
      <c r="AD31" s="408"/>
      <c r="AE31" s="28"/>
      <c r="AF31" s="2"/>
    </row>
    <row r="32" spans="1:32" ht="7.5" customHeight="1">
      <c r="A32" s="2"/>
      <c r="B32" s="7"/>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28"/>
      <c r="AF32" s="2"/>
    </row>
    <row r="33" spans="1:32">
      <c r="A33" s="2"/>
      <c r="B33" s="7"/>
      <c r="C33" s="219" t="str">
        <f ca="1">IF(C30="","",IF(Coordonnées!D17&lt;&gt;"","Fait à " &amp;" "&amp; Coordonnées!D17,"Fait à "&amp; Coordonnées!D16)&amp;" "&amp;", le")</f>
        <v>Fait à  , le</v>
      </c>
      <c r="D33" s="167"/>
      <c r="E33" s="167"/>
      <c r="F33" s="167"/>
      <c r="G33" s="167"/>
      <c r="H33" s="167"/>
      <c r="I33" s="117"/>
      <c r="J33" s="168"/>
      <c r="K33" s="117"/>
      <c r="L33" s="168"/>
      <c r="M33" s="412">
        <f ca="1">IF(C30="","",TODAY())</f>
        <v>45483</v>
      </c>
      <c r="N33" s="412"/>
      <c r="O33" s="412"/>
      <c r="P33" s="412"/>
      <c r="Q33" s="412"/>
      <c r="R33" s="412"/>
      <c r="S33" s="117"/>
      <c r="T33" s="141" t="str">
        <f ca="1">IF(C30="","","Signature manuscrite :")</f>
        <v>Signature manuscrite :</v>
      </c>
      <c r="U33" s="141"/>
      <c r="V33" s="141"/>
      <c r="W33" s="141"/>
      <c r="X33" s="141"/>
      <c r="Y33" s="141"/>
      <c r="Z33" s="78"/>
      <c r="AA33" s="78"/>
      <c r="AB33" s="130"/>
      <c r="AC33" s="130"/>
      <c r="AD33" s="130"/>
      <c r="AE33" s="28"/>
      <c r="AF33" s="2"/>
    </row>
    <row r="34" spans="1:32" ht="10.5" customHeight="1">
      <c r="A34" s="2"/>
      <c r="B34" s="30"/>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29"/>
      <c r="AF34" s="2"/>
    </row>
    <row r="35" spans="1:32" ht="3.9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32">
      <c r="A36" s="2"/>
      <c r="B36" s="124"/>
      <c r="C36" s="125" t="s">
        <v>155</v>
      </c>
      <c r="D36" s="125"/>
      <c r="E36" s="125"/>
      <c r="F36" s="125"/>
      <c r="G36" s="125"/>
      <c r="H36" s="125"/>
      <c r="I36" s="125"/>
      <c r="J36" s="125"/>
      <c r="K36" s="125"/>
      <c r="L36" s="125"/>
      <c r="M36" s="125"/>
      <c r="N36" s="125"/>
      <c r="O36" s="125"/>
      <c r="P36" s="5"/>
      <c r="Q36" s="5"/>
      <c r="R36" s="5"/>
      <c r="S36" s="5"/>
      <c r="T36" s="5"/>
      <c r="U36" s="5"/>
      <c r="V36" s="5"/>
      <c r="W36" s="5"/>
      <c r="X36" s="5"/>
      <c r="Y36" s="5"/>
      <c r="Z36" s="5"/>
      <c r="AA36" s="5"/>
      <c r="AB36" s="5"/>
      <c r="AC36" s="5"/>
      <c r="AD36" s="5"/>
      <c r="AE36" s="25"/>
      <c r="AF36" s="2"/>
    </row>
    <row r="37" spans="1:32">
      <c r="A37" s="2"/>
      <c r="B37" s="7"/>
      <c r="C37" s="400" t="str">
        <f ca="1">IF(Coordonnées!M1="Majeur","Ne s'applique pas.","Je soussigné(e)" &amp;" "&amp; E15&amp;" "&amp;O15&amp;" "&amp;AE37&amp; ""&amp;" père, mère, tuteur, responsable légal de "&amp;Coordonnées!H7&amp;" "&amp;Coordonnées!D7&amp;"  reconnais avoir pris connaissance du règlement intérieur du C.H.E (disponible sur le site internet du club). ")</f>
        <v>Ne s'applique pas.</v>
      </c>
      <c r="D37" s="400"/>
      <c r="E37" s="400"/>
      <c r="F37" s="400"/>
      <c r="G37" s="400"/>
      <c r="H37" s="400"/>
      <c r="I37" s="400"/>
      <c r="J37" s="400"/>
      <c r="K37" s="400"/>
      <c r="L37" s="400"/>
      <c r="M37" s="400"/>
      <c r="N37" s="400"/>
      <c r="O37" s="400"/>
      <c r="P37" s="400"/>
      <c r="Q37" s="400"/>
      <c r="R37" s="400"/>
      <c r="S37" s="400"/>
      <c r="T37" s="400"/>
      <c r="U37" s="400"/>
      <c r="V37" s="400"/>
      <c r="W37" s="400"/>
      <c r="X37" s="400"/>
      <c r="Y37" s="400"/>
      <c r="Z37" s="400"/>
      <c r="AA37" s="400"/>
      <c r="AB37" s="400"/>
      <c r="AC37" s="400"/>
      <c r="AD37" s="400"/>
      <c r="AE37" s="28"/>
      <c r="AF37" s="2"/>
    </row>
    <row r="38" spans="1:32">
      <c r="A38" s="2"/>
      <c r="B38" s="7"/>
      <c r="C38" s="400"/>
      <c r="D38" s="400"/>
      <c r="E38" s="400"/>
      <c r="F38" s="400"/>
      <c r="G38" s="400"/>
      <c r="H38" s="400"/>
      <c r="I38" s="400"/>
      <c r="J38" s="400"/>
      <c r="K38" s="400"/>
      <c r="L38" s="400"/>
      <c r="M38" s="400"/>
      <c r="N38" s="400"/>
      <c r="O38" s="400"/>
      <c r="P38" s="400"/>
      <c r="Q38" s="400"/>
      <c r="R38" s="400"/>
      <c r="S38" s="400"/>
      <c r="T38" s="400"/>
      <c r="U38" s="400"/>
      <c r="V38" s="400"/>
      <c r="W38" s="400"/>
      <c r="X38" s="400"/>
      <c r="Y38" s="400"/>
      <c r="Z38" s="400"/>
      <c r="AA38" s="400"/>
      <c r="AB38" s="400"/>
      <c r="AC38" s="400"/>
      <c r="AD38" s="400"/>
      <c r="AE38" s="28"/>
      <c r="AF38" s="2"/>
    </row>
    <row r="39" spans="1:32">
      <c r="A39" s="2"/>
      <c r="B39" s="7"/>
      <c r="C39" s="400"/>
      <c r="D39" s="400"/>
      <c r="E39" s="400"/>
      <c r="F39" s="400"/>
      <c r="G39" s="400"/>
      <c r="H39" s="400"/>
      <c r="I39" s="400"/>
      <c r="J39" s="400"/>
      <c r="K39" s="400"/>
      <c r="L39" s="400"/>
      <c r="M39" s="400"/>
      <c r="N39" s="400"/>
      <c r="O39" s="400"/>
      <c r="P39" s="400"/>
      <c r="Q39" s="400"/>
      <c r="R39" s="400"/>
      <c r="S39" s="400"/>
      <c r="T39" s="400"/>
      <c r="U39" s="400"/>
      <c r="V39" s="400"/>
      <c r="W39" s="400"/>
      <c r="X39" s="400"/>
      <c r="Y39" s="400"/>
      <c r="Z39" s="400"/>
      <c r="AA39" s="400"/>
      <c r="AB39" s="400"/>
      <c r="AC39" s="400"/>
      <c r="AD39" s="400"/>
      <c r="AE39" s="28"/>
      <c r="AF39" s="2"/>
    </row>
    <row r="40" spans="1:32">
      <c r="A40" s="2"/>
      <c r="B40" s="7"/>
      <c r="C40" s="400" t="str">
        <f ca="1">IF(Coordonnées!M1="Majeur"," ","J’autorise les responsables, les enseignants à prendre toutes mesures d’urgence en cas d’accident au club ou au cours des différentes compétitions couvertes par le club survenant au mineur(e) et lui faire prodiguer les soins que son état nécessiterait.")</f>
        <v xml:space="preserve"> </v>
      </c>
      <c r="D40" s="400"/>
      <c r="E40" s="400"/>
      <c r="F40" s="400"/>
      <c r="G40" s="400"/>
      <c r="H40" s="400"/>
      <c r="I40" s="400"/>
      <c r="J40" s="400"/>
      <c r="K40" s="400"/>
      <c r="L40" s="400"/>
      <c r="M40" s="400"/>
      <c r="N40" s="400"/>
      <c r="O40" s="400"/>
      <c r="P40" s="400"/>
      <c r="Q40" s="400"/>
      <c r="R40" s="400"/>
      <c r="S40" s="400"/>
      <c r="T40" s="400"/>
      <c r="U40" s="400"/>
      <c r="V40" s="400"/>
      <c r="W40" s="400"/>
      <c r="X40" s="400"/>
      <c r="Y40" s="400"/>
      <c r="Z40" s="400"/>
      <c r="AA40" s="400"/>
      <c r="AB40" s="400"/>
      <c r="AC40" s="400"/>
      <c r="AD40" s="400"/>
      <c r="AE40" s="28"/>
      <c r="AF40" s="2"/>
    </row>
    <row r="41" spans="1:32">
      <c r="A41" s="2"/>
      <c r="B41" s="7"/>
      <c r="C41" s="400"/>
      <c r="D41" s="400"/>
      <c r="E41" s="400"/>
      <c r="F41" s="400"/>
      <c r="G41" s="400"/>
      <c r="H41" s="400"/>
      <c r="I41" s="400"/>
      <c r="J41" s="400"/>
      <c r="K41" s="400"/>
      <c r="L41" s="400"/>
      <c r="M41" s="400"/>
      <c r="N41" s="400"/>
      <c r="O41" s="400"/>
      <c r="P41" s="400"/>
      <c r="Q41" s="400"/>
      <c r="R41" s="400"/>
      <c r="S41" s="400"/>
      <c r="T41" s="400"/>
      <c r="U41" s="400"/>
      <c r="V41" s="400"/>
      <c r="W41" s="400"/>
      <c r="X41" s="400"/>
      <c r="Y41" s="400"/>
      <c r="Z41" s="400"/>
      <c r="AA41" s="400"/>
      <c r="AB41" s="400"/>
      <c r="AC41" s="400"/>
      <c r="AD41" s="400"/>
      <c r="AE41" s="28"/>
      <c r="AF41" s="2"/>
    </row>
    <row r="42" spans="1:32">
      <c r="A42" s="2"/>
      <c r="B42" s="7"/>
      <c r="C42" s="400"/>
      <c r="D42" s="400"/>
      <c r="E42" s="400"/>
      <c r="F42" s="400"/>
      <c r="G42" s="400"/>
      <c r="H42" s="400"/>
      <c r="I42" s="400"/>
      <c r="J42" s="400"/>
      <c r="K42" s="400"/>
      <c r="L42" s="400"/>
      <c r="M42" s="400"/>
      <c r="N42" s="400"/>
      <c r="O42" s="400"/>
      <c r="P42" s="400"/>
      <c r="Q42" s="400"/>
      <c r="R42" s="400"/>
      <c r="S42" s="400"/>
      <c r="T42" s="400"/>
      <c r="U42" s="400"/>
      <c r="V42" s="400"/>
      <c r="W42" s="400"/>
      <c r="X42" s="400"/>
      <c r="Y42" s="400"/>
      <c r="Z42" s="400"/>
      <c r="AA42" s="400"/>
      <c r="AB42" s="400"/>
      <c r="AC42" s="400"/>
      <c r="AD42" s="400"/>
      <c r="AE42" s="28"/>
      <c r="AF42" s="2"/>
    </row>
    <row r="43" spans="1:32" ht="7.5" customHeight="1">
      <c r="A43" s="2"/>
      <c r="B43" s="7"/>
      <c r="C43" s="113"/>
      <c r="D43" s="113"/>
      <c r="E43" s="113"/>
      <c r="F43" s="113"/>
      <c r="G43" s="113"/>
      <c r="H43" s="113"/>
      <c r="I43" s="113"/>
      <c r="J43" s="113"/>
      <c r="K43" s="113"/>
      <c r="L43" s="113"/>
      <c r="M43" s="113"/>
      <c r="N43" s="113"/>
      <c r="O43" s="113"/>
      <c r="P43" s="113"/>
      <c r="Q43" s="113"/>
      <c r="R43" s="113"/>
      <c r="S43" s="113"/>
      <c r="T43" s="113"/>
      <c r="U43" s="113"/>
      <c r="V43" s="117"/>
      <c r="W43" s="117"/>
      <c r="X43" s="117"/>
      <c r="Y43" s="117"/>
      <c r="Z43" s="117"/>
      <c r="AA43" s="117"/>
      <c r="AB43" s="117"/>
      <c r="AC43" s="117"/>
      <c r="AD43" s="117"/>
      <c r="AE43" s="28"/>
      <c r="AF43" s="2"/>
    </row>
    <row r="44" spans="1:32">
      <c r="A44" s="2"/>
      <c r="B44" s="7"/>
      <c r="C44" s="114" t="str">
        <f ca="1">IF(Coordonnées!M1="Majeur","","Date et signature précédée de la mention manuscrite  ""lu et approuvé""")</f>
        <v/>
      </c>
      <c r="D44" s="78"/>
      <c r="E44" s="78"/>
      <c r="F44" s="78"/>
      <c r="G44" s="78"/>
      <c r="H44" s="78"/>
      <c r="I44" s="78"/>
      <c r="J44" s="78"/>
      <c r="K44" s="78"/>
      <c r="L44" s="78"/>
      <c r="M44" s="78"/>
      <c r="N44" s="78"/>
      <c r="O44" s="78"/>
      <c r="P44" s="78"/>
      <c r="Q44" s="78"/>
      <c r="R44" s="78"/>
      <c r="S44" s="78"/>
      <c r="T44" s="78"/>
      <c r="U44" s="78"/>
      <c r="V44" s="1"/>
      <c r="W44" s="78"/>
      <c r="X44" s="78"/>
      <c r="Y44" s="78"/>
      <c r="Z44" s="78"/>
      <c r="AA44" s="78"/>
      <c r="AB44" s="78"/>
      <c r="AC44" s="78"/>
      <c r="AD44" s="78"/>
      <c r="AE44" s="28"/>
      <c r="AF44" s="2"/>
    </row>
    <row r="45" spans="1:32" ht="7.5" customHeight="1">
      <c r="A45" s="2"/>
      <c r="B45" s="7"/>
      <c r="C45" s="164"/>
      <c r="D45" s="165"/>
      <c r="E45" s="165"/>
      <c r="F45" s="165"/>
      <c r="G45" s="165"/>
      <c r="H45" s="165"/>
      <c r="I45" s="165"/>
      <c r="J45" s="165"/>
      <c r="K45" s="165"/>
      <c r="L45" s="122"/>
      <c r="M45" s="122"/>
      <c r="N45" s="122"/>
      <c r="O45" s="122"/>
      <c r="P45" s="122"/>
      <c r="Q45" s="122"/>
      <c r="R45" s="122"/>
      <c r="S45" s="166"/>
      <c r="T45" s="78"/>
      <c r="U45" s="78"/>
      <c r="V45" s="1"/>
      <c r="W45" s="78"/>
      <c r="X45" s="78"/>
      <c r="Y45" s="78"/>
      <c r="Z45" s="78"/>
      <c r="AA45" s="78"/>
      <c r="AB45" s="78"/>
      <c r="AC45" s="78"/>
      <c r="AD45" s="78"/>
      <c r="AE45" s="28"/>
      <c r="AF45" s="2"/>
    </row>
    <row r="46" spans="1:32">
      <c r="A46" s="2"/>
      <c r="B46" s="7"/>
      <c r="C46" s="219" t="str">
        <f ca="1">IF(C44="","",IF(Coordonnées!D30&lt;&gt;"","Fait à " &amp;" "&amp; Coordonnées!D30,"Fait à "&amp; Coordonnées!D29)&amp;" "&amp;", le")</f>
        <v/>
      </c>
      <c r="D46" s="167"/>
      <c r="E46" s="167"/>
      <c r="F46" s="167"/>
      <c r="G46" s="167"/>
      <c r="H46" s="167"/>
      <c r="I46" s="117"/>
      <c r="J46" s="168"/>
      <c r="K46" s="117"/>
      <c r="L46" s="168"/>
      <c r="M46" s="412" t="str">
        <f ca="1">IF(C44="","",TODAY())</f>
        <v/>
      </c>
      <c r="N46" s="412"/>
      <c r="O46" s="412"/>
      <c r="P46" s="412"/>
      <c r="Q46" s="412"/>
      <c r="R46" s="412"/>
      <c r="S46" s="117"/>
      <c r="T46" s="141" t="str">
        <f ca="1">IF(C44="","","Signature manuscrite :")</f>
        <v/>
      </c>
      <c r="U46" s="141"/>
      <c r="V46" s="141"/>
      <c r="W46" s="141"/>
      <c r="X46" s="141"/>
      <c r="Y46" s="141"/>
      <c r="Z46" s="78"/>
      <c r="AA46" s="78"/>
      <c r="AB46" s="78"/>
      <c r="AC46" s="78"/>
      <c r="AD46" s="78"/>
      <c r="AE46" s="28"/>
      <c r="AF46" s="2"/>
    </row>
    <row r="47" spans="1:32">
      <c r="A47" s="2"/>
      <c r="B47" s="7"/>
      <c r="C47" s="219"/>
      <c r="D47" s="167"/>
      <c r="E47" s="167"/>
      <c r="F47" s="167"/>
      <c r="G47" s="167"/>
      <c r="H47" s="167"/>
      <c r="I47" s="117"/>
      <c r="J47" s="168"/>
      <c r="K47" s="117"/>
      <c r="L47" s="168"/>
      <c r="M47" s="221"/>
      <c r="N47" s="221"/>
      <c r="O47" s="221"/>
      <c r="P47" s="221"/>
      <c r="Q47" s="221"/>
      <c r="R47" s="221"/>
      <c r="S47" s="117"/>
      <c r="T47" s="141"/>
      <c r="U47" s="141"/>
      <c r="V47" s="141"/>
      <c r="W47" s="141"/>
      <c r="X47" s="141"/>
      <c r="Y47" s="141"/>
      <c r="Z47" s="78"/>
      <c r="AA47" s="78"/>
      <c r="AB47" s="78"/>
      <c r="AC47" s="78"/>
      <c r="AD47" s="78"/>
      <c r="AE47" s="28"/>
      <c r="AF47" s="2"/>
    </row>
    <row r="48" spans="1:32" ht="10.5" customHeight="1">
      <c r="A48" s="2"/>
      <c r="B48" s="30"/>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29"/>
      <c r="AF48" s="2"/>
    </row>
    <row r="49" spans="1:32" s="142" customFormat="1" ht="3.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1:32" s="142" customFormat="1" ht="12.75" customHeight="1">
      <c r="A50" s="1"/>
      <c r="B50" s="143"/>
      <c r="C50" s="146" t="s">
        <v>43</v>
      </c>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25"/>
      <c r="AF50" s="1"/>
    </row>
    <row r="51" spans="1:32" s="142" customFormat="1" ht="12.75" customHeight="1">
      <c r="A51" s="1"/>
      <c r="B51" s="7"/>
      <c r="C51" s="159" t="s">
        <v>156</v>
      </c>
      <c r="D51" s="158"/>
      <c r="E51" s="158"/>
      <c r="F51" s="158"/>
      <c r="G51" s="158"/>
      <c r="H51" s="425" t="str">
        <f>IF(Sommaire!J23="Oui","Non","Oui")</f>
        <v>Oui</v>
      </c>
      <c r="I51" s="425"/>
      <c r="J51" s="425"/>
      <c r="K51" s="158"/>
      <c r="L51" s="158"/>
      <c r="M51" s="158"/>
      <c r="N51" s="158"/>
      <c r="O51" s="158"/>
      <c r="P51" s="159" t="s">
        <v>157</v>
      </c>
      <c r="Q51" s="158"/>
      <c r="R51" s="158"/>
      <c r="S51" s="158"/>
      <c r="T51" s="158"/>
      <c r="U51" s="158"/>
      <c r="V51" s="158"/>
      <c r="W51" s="423"/>
      <c r="X51" s="423"/>
      <c r="Y51" s="423"/>
      <c r="Z51" s="423"/>
      <c r="AA51" s="423"/>
      <c r="AB51" s="423"/>
      <c r="AC51" s="423"/>
      <c r="AD51" s="423"/>
      <c r="AE51" s="28"/>
      <c r="AF51" s="1"/>
    </row>
    <row r="52" spans="1:32" ht="9" customHeight="1">
      <c r="A52" s="2"/>
      <c r="B52" s="144"/>
      <c r="C52" s="401"/>
      <c r="D52" s="401"/>
      <c r="E52" s="401"/>
      <c r="F52" s="401"/>
      <c r="G52" s="401"/>
      <c r="H52" s="401"/>
      <c r="I52" s="401"/>
      <c r="J52" s="401"/>
      <c r="K52" s="401"/>
      <c r="L52" s="401"/>
      <c r="M52" s="401"/>
      <c r="N52" s="401"/>
      <c r="O52" s="401"/>
      <c r="P52" s="401"/>
      <c r="Q52" s="401"/>
      <c r="R52" s="401"/>
      <c r="S52" s="401"/>
      <c r="T52" s="401"/>
      <c r="U52" s="401"/>
      <c r="V52" s="401"/>
      <c r="W52" s="401"/>
      <c r="X52" s="401"/>
      <c r="Y52" s="401"/>
      <c r="Z52" s="401"/>
      <c r="AA52" s="401"/>
      <c r="AB52" s="401"/>
      <c r="AC52" s="401"/>
      <c r="AD52" s="401"/>
      <c r="AE52" s="145"/>
      <c r="AF52" s="2"/>
    </row>
    <row r="53" spans="1:32" ht="3.75" customHeight="1">
      <c r="A53" s="2"/>
      <c r="B53" s="156"/>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6"/>
      <c r="AF53" s="2"/>
    </row>
    <row r="54" spans="1:32" ht="12.75" customHeight="1">
      <c r="A54" s="2"/>
      <c r="B54" s="143"/>
      <c r="C54" s="146" t="s">
        <v>158</v>
      </c>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25"/>
      <c r="AF54" s="2"/>
    </row>
    <row r="55" spans="1:32" ht="12.75" customHeight="1">
      <c r="A55" s="2"/>
      <c r="B55" s="7"/>
      <c r="C55" s="159" t="s">
        <v>159</v>
      </c>
      <c r="D55" s="158"/>
      <c r="E55" s="158"/>
      <c r="F55" s="158"/>
      <c r="G55" s="158"/>
      <c r="H55" s="159"/>
      <c r="I55" s="422"/>
      <c r="J55" s="422"/>
      <c r="K55" s="422"/>
      <c r="L55" s="422"/>
      <c r="M55" s="422"/>
      <c r="N55" s="422"/>
      <c r="O55" s="422"/>
      <c r="P55" s="422"/>
      <c r="Q55" s="422"/>
      <c r="R55" s="422"/>
      <c r="S55" s="158"/>
      <c r="T55" s="158"/>
      <c r="U55" s="158"/>
      <c r="V55" s="158"/>
      <c r="W55" s="158"/>
      <c r="X55" s="158"/>
      <c r="Y55" s="158"/>
      <c r="Z55" s="1"/>
      <c r="AA55" s="1"/>
      <c r="AB55" s="1"/>
      <c r="AC55" s="1"/>
      <c r="AD55" s="1"/>
      <c r="AE55" s="28"/>
      <c r="AF55" s="2"/>
    </row>
    <row r="56" spans="1:32" ht="9" customHeight="1">
      <c r="A56" s="2"/>
      <c r="B56" s="144"/>
      <c r="C56" s="401"/>
      <c r="D56" s="401"/>
      <c r="E56" s="401"/>
      <c r="F56" s="401"/>
      <c r="G56" s="401"/>
      <c r="H56" s="401"/>
      <c r="I56" s="401"/>
      <c r="J56" s="401"/>
      <c r="K56" s="401"/>
      <c r="L56" s="401"/>
      <c r="M56" s="401"/>
      <c r="N56" s="401"/>
      <c r="O56" s="401"/>
      <c r="P56" s="401"/>
      <c r="Q56" s="401"/>
      <c r="R56" s="401"/>
      <c r="S56" s="401"/>
      <c r="T56" s="401"/>
      <c r="U56" s="401"/>
      <c r="V56" s="401"/>
      <c r="W56" s="401"/>
      <c r="X56" s="401"/>
      <c r="Y56" s="401"/>
      <c r="Z56" s="401"/>
      <c r="AA56" s="401"/>
      <c r="AB56" s="401"/>
      <c r="AC56" s="401"/>
      <c r="AD56" s="401"/>
      <c r="AE56" s="145"/>
      <c r="AF56" s="2"/>
    </row>
    <row r="57" spans="1:32" s="134" customFormat="1" ht="3.75" customHeight="1">
      <c r="A57" s="115"/>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15"/>
    </row>
    <row r="58" spans="1:32" ht="12.75" customHeight="1">
      <c r="A58" s="2"/>
      <c r="B58" s="143"/>
      <c r="C58" s="146" t="s">
        <v>160</v>
      </c>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25"/>
      <c r="AF58" s="2"/>
    </row>
    <row r="59" spans="1:32" ht="12.75" customHeight="1">
      <c r="A59" s="2"/>
      <c r="B59" s="7"/>
      <c r="C59" s="424" t="str">
        <f>IF(ISBLANK(Coordonnées!$B$53),"Aucune",Coordonnées!$B$53)</f>
        <v>Néant</v>
      </c>
      <c r="D59" s="424"/>
      <c r="E59" s="424"/>
      <c r="F59" s="424"/>
      <c r="G59" s="424"/>
      <c r="H59" s="424"/>
      <c r="I59" s="424"/>
      <c r="J59" s="424"/>
      <c r="K59" s="424"/>
      <c r="L59" s="424"/>
      <c r="M59" s="424"/>
      <c r="N59" s="424"/>
      <c r="O59" s="424"/>
      <c r="P59" s="424"/>
      <c r="Q59" s="424"/>
      <c r="R59" s="424"/>
      <c r="S59" s="424"/>
      <c r="T59" s="424"/>
      <c r="U59" s="424"/>
      <c r="V59" s="424"/>
      <c r="W59" s="424"/>
      <c r="X59" s="424"/>
      <c r="Y59" s="424"/>
      <c r="Z59" s="1"/>
      <c r="AA59" s="1"/>
      <c r="AB59" s="1"/>
      <c r="AC59" s="1"/>
      <c r="AD59" s="1"/>
      <c r="AE59" s="28"/>
      <c r="AF59" s="2"/>
    </row>
    <row r="60" spans="1:32" ht="9" customHeight="1">
      <c r="A60" s="2"/>
      <c r="B60" s="144"/>
      <c r="C60" s="401"/>
      <c r="D60" s="401"/>
      <c r="E60" s="401"/>
      <c r="F60" s="401"/>
      <c r="G60" s="401"/>
      <c r="H60" s="401"/>
      <c r="I60" s="401"/>
      <c r="J60" s="401"/>
      <c r="K60" s="401"/>
      <c r="L60" s="401"/>
      <c r="M60" s="401"/>
      <c r="N60" s="401"/>
      <c r="O60" s="401"/>
      <c r="P60" s="401"/>
      <c r="Q60" s="401"/>
      <c r="R60" s="401"/>
      <c r="S60" s="401"/>
      <c r="T60" s="401"/>
      <c r="U60" s="401"/>
      <c r="V60" s="401"/>
      <c r="W60" s="401"/>
      <c r="X60" s="401"/>
      <c r="Y60" s="401"/>
      <c r="Z60" s="401"/>
      <c r="AA60" s="401"/>
      <c r="AB60" s="401"/>
      <c r="AC60" s="401"/>
      <c r="AD60" s="401"/>
      <c r="AE60" s="145"/>
      <c r="AF60" s="2"/>
    </row>
    <row r="61" spans="1:32" ht="3.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12.75" customHeight="1">
      <c r="A62" s="2"/>
      <c r="B62" s="392" t="s">
        <v>161</v>
      </c>
      <c r="C62" s="393"/>
      <c r="D62" s="393"/>
      <c r="E62" s="393"/>
      <c r="F62" s="393"/>
      <c r="G62" s="393"/>
      <c r="H62" s="393"/>
      <c r="I62" s="393"/>
      <c r="J62" s="5"/>
      <c r="K62" s="5"/>
      <c r="L62" s="76" t="s">
        <v>162</v>
      </c>
      <c r="M62" s="76"/>
      <c r="N62" s="76"/>
      <c r="O62" s="5" t="s">
        <v>163</v>
      </c>
      <c r="P62" s="5"/>
      <c r="Q62" s="5" t="s">
        <v>164</v>
      </c>
      <c r="R62" s="5"/>
      <c r="S62" s="5"/>
      <c r="T62" s="5"/>
      <c r="U62" s="413" t="s">
        <v>165</v>
      </c>
      <c r="V62" s="414"/>
      <c r="W62" s="414"/>
      <c r="X62" s="415"/>
      <c r="Y62" s="402" t="s">
        <v>166</v>
      </c>
      <c r="Z62" s="402"/>
      <c r="AA62" s="402"/>
      <c r="AB62" s="402"/>
      <c r="AC62" s="402"/>
      <c r="AD62" s="402"/>
      <c r="AE62" s="403"/>
      <c r="AF62" s="2"/>
    </row>
    <row r="63" spans="1:32">
      <c r="A63" s="2"/>
      <c r="B63" s="7"/>
      <c r="C63" s="101" t="str">
        <f>Cotisation!B35</f>
        <v>Location tenue ≤10ans (veste + pantalon + sous-cuirasse + masque)</v>
      </c>
      <c r="D63" s="1"/>
      <c r="E63" s="1"/>
      <c r="F63" s="1"/>
      <c r="G63" s="1"/>
      <c r="H63" s="1"/>
      <c r="I63" s="1"/>
      <c r="J63" s="1"/>
      <c r="K63" s="1"/>
      <c r="L63" s="77"/>
      <c r="M63" s="77">
        <f>Cotisation!F35</f>
        <v>0</v>
      </c>
      <c r="N63" s="1"/>
      <c r="O63" s="163"/>
      <c r="P63" s="163"/>
      <c r="Q63" s="163"/>
      <c r="R63" s="163"/>
      <c r="S63" s="163"/>
      <c r="T63" s="1"/>
      <c r="U63" s="416"/>
      <c r="V63" s="417"/>
      <c r="W63" s="417"/>
      <c r="X63" s="418"/>
      <c r="Y63" s="405"/>
      <c r="Z63" s="406"/>
      <c r="AA63" s="406"/>
      <c r="AB63" s="406"/>
      <c r="AC63" s="406"/>
      <c r="AD63" s="406"/>
      <c r="AE63" s="407"/>
      <c r="AF63" s="2"/>
    </row>
    <row r="64" spans="1:32">
      <c r="A64" s="2"/>
      <c r="B64" s="7"/>
      <c r="C64" s="101" t="str">
        <f>Cotisation!B36</f>
        <v>Location tenue ≥11ans (veste + pantalon + masque)</v>
      </c>
      <c r="D64" s="1"/>
      <c r="E64" s="1"/>
      <c r="F64" s="1"/>
      <c r="G64" s="1"/>
      <c r="H64" s="1"/>
      <c r="I64" s="1"/>
      <c r="J64" s="1"/>
      <c r="K64" s="1"/>
      <c r="L64" s="77"/>
      <c r="M64" s="77">
        <f>Cotisation!F36</f>
        <v>0</v>
      </c>
      <c r="N64" s="1"/>
      <c r="O64" s="161"/>
      <c r="P64" s="161"/>
      <c r="Q64" s="161"/>
      <c r="R64" s="161"/>
      <c r="S64" s="161"/>
      <c r="T64" s="1"/>
      <c r="U64" s="416"/>
      <c r="V64" s="417"/>
      <c r="W64" s="417"/>
      <c r="X64" s="418"/>
      <c r="Y64" s="160"/>
      <c r="Z64" s="161"/>
      <c r="AA64" s="161"/>
      <c r="AB64" s="161"/>
      <c r="AC64" s="161"/>
      <c r="AD64" s="161"/>
      <c r="AE64" s="162"/>
      <c r="AF64" s="2"/>
    </row>
    <row r="65" spans="1:32">
      <c r="A65" s="2"/>
      <c r="B65" s="7"/>
      <c r="C65" s="101" t="s">
        <v>324</v>
      </c>
      <c r="D65" s="1"/>
      <c r="E65" s="1"/>
      <c r="F65" s="1"/>
      <c r="G65" s="1"/>
      <c r="H65" s="1"/>
      <c r="I65" s="1"/>
      <c r="J65" s="1"/>
      <c r="K65" s="1"/>
      <c r="L65" s="77"/>
      <c r="M65" s="77">
        <f>Cotisation!F37</f>
        <v>0</v>
      </c>
      <c r="N65" s="1"/>
      <c r="O65" s="1"/>
      <c r="P65" s="1"/>
      <c r="Q65" s="1"/>
      <c r="R65" s="1"/>
      <c r="S65" s="1"/>
      <c r="T65" s="1"/>
      <c r="U65" s="416"/>
      <c r="V65" s="417"/>
      <c r="W65" s="417"/>
      <c r="X65" s="418"/>
      <c r="Y65" s="1"/>
      <c r="Z65" s="1"/>
      <c r="AA65" s="1"/>
      <c r="AB65" s="1"/>
      <c r="AC65" s="1"/>
      <c r="AD65" s="1"/>
      <c r="AE65" s="105"/>
      <c r="AF65" s="2"/>
    </row>
    <row r="66" spans="1:32" ht="3.95" customHeight="1">
      <c r="A66" s="2"/>
      <c r="B66" s="30"/>
      <c r="C66" s="102"/>
      <c r="D66" s="6"/>
      <c r="E66" s="6"/>
      <c r="F66" s="6"/>
      <c r="G66" s="6"/>
      <c r="H66" s="6"/>
      <c r="I66" s="6"/>
      <c r="J66" s="6"/>
      <c r="K66" s="6"/>
      <c r="L66" s="37"/>
      <c r="M66" s="37"/>
      <c r="N66" s="6"/>
      <c r="O66" s="6"/>
      <c r="P66" s="6"/>
      <c r="Q66" s="6"/>
      <c r="R66" s="6"/>
      <c r="S66" s="6"/>
      <c r="T66" s="6"/>
      <c r="U66" s="419"/>
      <c r="V66" s="420"/>
      <c r="W66" s="420"/>
      <c r="X66" s="421"/>
      <c r="Y66" s="6"/>
      <c r="Z66" s="6"/>
      <c r="AA66" s="6"/>
      <c r="AB66" s="6"/>
      <c r="AC66" s="6"/>
      <c r="AD66" s="6"/>
      <c r="AE66" s="106"/>
      <c r="AF66" s="2"/>
    </row>
    <row r="67" spans="1:32" ht="3.75" customHeight="1">
      <c r="A67" s="2"/>
      <c r="B67" s="1"/>
      <c r="C67" s="154"/>
      <c r="D67" s="78"/>
      <c r="E67" s="78"/>
      <c r="F67" s="78"/>
      <c r="G67" s="78"/>
      <c r="H67" s="78"/>
      <c r="I67" s="78"/>
      <c r="J67" s="78"/>
      <c r="K67" s="78"/>
      <c r="L67" s="130"/>
      <c r="M67" s="130"/>
      <c r="N67" s="78"/>
      <c r="O67" s="78"/>
      <c r="P67" s="78"/>
      <c r="Q67" s="78"/>
      <c r="R67" s="78"/>
      <c r="S67" s="78"/>
      <c r="T67" s="78"/>
      <c r="U67" s="153"/>
      <c r="V67" s="153"/>
      <c r="W67" s="153"/>
      <c r="X67" s="78"/>
      <c r="Y67" s="78"/>
      <c r="Z67" s="78"/>
      <c r="AA67" s="78"/>
      <c r="AB67" s="78"/>
      <c r="AC67" s="78"/>
      <c r="AD67" s="78"/>
      <c r="AE67" s="104"/>
      <c r="AF67" s="2"/>
    </row>
    <row r="68" spans="1:32" ht="12.75" customHeight="1">
      <c r="A68" s="2"/>
      <c r="B68" s="143"/>
      <c r="C68" s="125" t="s">
        <v>167</v>
      </c>
      <c r="D68" s="155"/>
      <c r="E68" s="155"/>
      <c r="F68" s="155"/>
      <c r="G68" s="155"/>
      <c r="H68" s="155"/>
      <c r="I68" s="155"/>
      <c r="J68" s="155"/>
      <c r="K68" s="155"/>
      <c r="L68" s="125"/>
      <c r="M68" s="125"/>
      <c r="N68" s="155"/>
      <c r="O68" s="155"/>
      <c r="P68" s="155"/>
      <c r="Q68" s="411" t="s">
        <v>168</v>
      </c>
      <c r="R68" s="411"/>
      <c r="S68" s="411"/>
      <c r="T68" s="411"/>
      <c r="U68" s="411"/>
      <c r="V68" s="411"/>
      <c r="W68" s="152"/>
      <c r="X68" s="411" t="s">
        <v>169</v>
      </c>
      <c r="Y68" s="411"/>
      <c r="Z68" s="411"/>
      <c r="AA68" s="411"/>
      <c r="AB68" s="411"/>
      <c r="AC68" s="411"/>
      <c r="AD68" s="155"/>
      <c r="AE68" s="147"/>
      <c r="AF68" s="2"/>
    </row>
    <row r="69" spans="1:32">
      <c r="A69" s="2"/>
      <c r="B69" s="7"/>
      <c r="C69" s="113" t="str">
        <f>Cotisation!B38</f>
        <v>Achat sous cuirasse 800N enfant de 11 à 14 ans</v>
      </c>
      <c r="D69" s="1"/>
      <c r="E69" s="1"/>
      <c r="F69" s="1"/>
      <c r="G69" s="1"/>
      <c r="H69" s="1"/>
      <c r="I69" s="1"/>
      <c r="J69" s="1"/>
      <c r="K69" s="1"/>
      <c r="L69" s="1"/>
      <c r="M69" s="77"/>
      <c r="N69" s="77"/>
      <c r="O69" s="77"/>
      <c r="P69" s="77">
        <f>Cotisation!$F$38</f>
        <v>0</v>
      </c>
      <c r="Q69" s="150"/>
      <c r="R69" s="150"/>
      <c r="S69" s="150"/>
      <c r="T69" s="150"/>
      <c r="U69" s="150"/>
      <c r="V69" s="150"/>
      <c r="W69" s="1"/>
      <c r="X69" s="150"/>
      <c r="Y69" s="150"/>
      <c r="Z69" s="150"/>
      <c r="AA69" s="150"/>
      <c r="AB69" s="150"/>
      <c r="AC69" s="150"/>
      <c r="AD69" s="1"/>
      <c r="AE69" s="105"/>
      <c r="AF69" s="2"/>
    </row>
    <row r="70" spans="1:32">
      <c r="A70" s="2"/>
      <c r="B70" s="7"/>
      <c r="C70" s="113" t="str">
        <f>Cotisation!B39</f>
        <v xml:space="preserve">Achat sous cuirasse 800N (plus de 15 ans inclu) </v>
      </c>
      <c r="D70" s="1"/>
      <c r="E70" s="1"/>
      <c r="F70" s="1"/>
      <c r="G70" s="1"/>
      <c r="H70" s="1"/>
      <c r="I70" s="1"/>
      <c r="J70" s="1"/>
      <c r="K70" s="1"/>
      <c r="L70" s="1"/>
      <c r="M70" s="77"/>
      <c r="N70" s="77"/>
      <c r="O70" s="77"/>
      <c r="P70" s="77">
        <f>Cotisation!$F$39</f>
        <v>0</v>
      </c>
      <c r="Q70" s="150"/>
      <c r="R70" s="150"/>
      <c r="S70" s="150"/>
      <c r="T70" s="150"/>
      <c r="U70" s="150"/>
      <c r="V70" s="150"/>
      <c r="W70" s="1"/>
      <c r="X70" s="150"/>
      <c r="Y70" s="150"/>
      <c r="Z70" s="150"/>
      <c r="AA70" s="150"/>
      <c r="AB70" s="150"/>
      <c r="AC70" s="150"/>
      <c r="AD70" s="1"/>
      <c r="AE70" s="105"/>
      <c r="AF70" s="2"/>
    </row>
    <row r="71" spans="1:32">
      <c r="A71" s="2"/>
      <c r="B71" s="7"/>
      <c r="C71" s="113" t="str">
        <f>Cotisation!B40</f>
        <v>Achat gant</v>
      </c>
      <c r="D71" s="1"/>
      <c r="E71" s="1"/>
      <c r="F71" s="1"/>
      <c r="G71" s="1"/>
      <c r="H71" s="1"/>
      <c r="I71" s="1"/>
      <c r="J71" s="1"/>
      <c r="K71" s="1"/>
      <c r="L71" s="1"/>
      <c r="M71" s="77"/>
      <c r="N71" s="77"/>
      <c r="O71" s="77"/>
      <c r="P71" s="77">
        <f>Cotisation!$F$40</f>
        <v>0</v>
      </c>
      <c r="Q71" s="150"/>
      <c r="R71" s="150"/>
      <c r="S71" s="150"/>
      <c r="T71" s="150"/>
      <c r="U71" s="150"/>
      <c r="V71" s="150"/>
      <c r="W71" s="1"/>
      <c r="X71" s="150"/>
      <c r="Y71" s="150"/>
      <c r="Z71" s="150"/>
      <c r="AA71" s="150"/>
      <c r="AB71" s="150"/>
      <c r="AC71" s="150"/>
      <c r="AD71" s="1"/>
      <c r="AE71" s="105"/>
      <c r="AF71" s="2"/>
    </row>
    <row r="72" spans="1:32" ht="3.95" customHeight="1">
      <c r="A72" s="2"/>
      <c r="B72" s="30"/>
      <c r="C72" s="148"/>
      <c r="D72" s="6"/>
      <c r="E72" s="6"/>
      <c r="F72" s="6"/>
      <c r="G72" s="6"/>
      <c r="H72" s="6"/>
      <c r="I72" s="6"/>
      <c r="J72" s="6"/>
      <c r="K72" s="6"/>
      <c r="L72" s="37"/>
      <c r="M72" s="37"/>
      <c r="N72" s="6"/>
      <c r="O72" s="6"/>
      <c r="P72" s="6"/>
      <c r="Q72" s="6"/>
      <c r="R72" s="6"/>
      <c r="S72" s="6"/>
      <c r="T72" s="6"/>
      <c r="U72" s="6"/>
      <c r="V72" s="149"/>
      <c r="W72" s="149"/>
      <c r="X72" s="6"/>
      <c r="Y72" s="6"/>
      <c r="Z72" s="6"/>
      <c r="AA72" s="6"/>
      <c r="AB72" s="6"/>
      <c r="AC72" s="6"/>
      <c r="AD72" s="6"/>
      <c r="AE72" s="106"/>
      <c r="AF72" s="2"/>
    </row>
    <row r="73" spans="1:32" ht="3.75" customHeight="1">
      <c r="A73" s="2"/>
      <c r="B73" s="1"/>
      <c r="C73" s="1"/>
      <c r="D73" s="1"/>
      <c r="E73" s="1"/>
      <c r="F73" s="1"/>
      <c r="G73" s="1"/>
      <c r="H73" s="1"/>
      <c r="I73" s="1"/>
      <c r="J73" s="1"/>
      <c r="K73" s="1"/>
      <c r="L73" s="1"/>
      <c r="M73" s="1"/>
      <c r="N73" s="1"/>
      <c r="O73" s="1"/>
      <c r="P73" s="1"/>
      <c r="Q73" s="1"/>
      <c r="R73" s="1"/>
      <c r="S73" s="1"/>
      <c r="T73" s="1"/>
      <c r="U73" s="1"/>
      <c r="V73" s="1"/>
      <c r="W73" s="108"/>
      <c r="X73" s="1"/>
      <c r="Y73" s="1"/>
      <c r="Z73" s="1"/>
      <c r="AA73" s="1"/>
      <c r="AB73" s="1"/>
      <c r="AC73" s="1"/>
      <c r="AD73" s="1"/>
      <c r="AE73" s="104"/>
      <c r="AF73" s="2"/>
    </row>
    <row r="74" spans="1:32">
      <c r="A74" s="2"/>
      <c r="B74" s="392" t="s">
        <v>170</v>
      </c>
      <c r="C74" s="393"/>
      <c r="D74" s="393"/>
      <c r="E74" s="393"/>
      <c r="F74" s="393"/>
      <c r="G74" s="393"/>
      <c r="H74" s="393"/>
      <c r="I74" s="5"/>
      <c r="J74" s="5"/>
      <c r="K74" s="5"/>
      <c r="L74" s="5"/>
      <c r="M74" s="5"/>
      <c r="N74" s="5"/>
      <c r="O74" s="5"/>
      <c r="P74" s="5"/>
      <c r="Q74" s="5"/>
      <c r="R74" s="5"/>
      <c r="S74" s="5"/>
      <c r="T74" s="5"/>
      <c r="U74" s="5"/>
      <c r="V74" s="5"/>
      <c r="W74" s="107"/>
      <c r="X74" s="5"/>
      <c r="Y74" s="404" t="s">
        <v>171</v>
      </c>
      <c r="Z74" s="402"/>
      <c r="AA74" s="402"/>
      <c r="AB74" s="402"/>
      <c r="AC74" s="402"/>
      <c r="AD74" s="402"/>
      <c r="AE74" s="403"/>
      <c r="AF74" s="2"/>
    </row>
    <row r="75" spans="1:32">
      <c r="A75" s="2"/>
      <c r="B75" s="7"/>
      <c r="C75" s="78" t="str">
        <f ca="1">CONCATENATE(SUM(Sommaire!B41:B43),(IF(Sommaire!R41="chèque"," chèque "," virement ")),Sommaire!J41," € +",Sommaire!J42," € +",Sommaire!J43," €")</f>
        <v>0 chèque 0 € +0 € +0 €</v>
      </c>
      <c r="D75" s="78"/>
      <c r="E75" s="78"/>
      <c r="F75" s="78"/>
      <c r="G75" s="78"/>
      <c r="H75" s="78"/>
      <c r="I75" s="78"/>
      <c r="J75" s="78"/>
      <c r="K75" s="78"/>
      <c r="L75" s="78"/>
      <c r="M75" s="78"/>
      <c r="N75" s="78"/>
      <c r="O75" s="78"/>
      <c r="P75" s="1"/>
      <c r="Q75" s="1"/>
      <c r="R75" s="1"/>
      <c r="S75" s="1"/>
      <c r="T75" s="1"/>
      <c r="U75" s="1"/>
      <c r="V75" s="1"/>
      <c r="W75" s="108"/>
      <c r="X75" s="1"/>
      <c r="Y75" s="111"/>
      <c r="Z75" s="109"/>
      <c r="AA75" s="109"/>
      <c r="AB75" s="109"/>
      <c r="AC75" s="109"/>
      <c r="AD75" s="109"/>
      <c r="AE75" s="105"/>
      <c r="AF75" s="2"/>
    </row>
    <row r="76" spans="1:32">
      <c r="A76" s="2"/>
      <c r="B76" s="7"/>
      <c r="C76" s="78" t="str">
        <f>CONCATENATE(Sommaire!B44,(IF(Sommaire!R41="chèque"," chèque "," virement ")),"de location/achat de ",Sommaire!J44,"€")</f>
        <v>0 chèque de location/achat de 0€</v>
      </c>
      <c r="D76" s="78"/>
      <c r="E76" s="78"/>
      <c r="F76" s="78"/>
      <c r="G76" s="78"/>
      <c r="H76" s="78"/>
      <c r="I76" s="78"/>
      <c r="J76" s="78"/>
      <c r="K76" s="78"/>
      <c r="L76" s="78"/>
      <c r="M76" s="78"/>
      <c r="N76" s="78"/>
      <c r="O76" s="78"/>
      <c r="P76" s="1"/>
      <c r="Q76" s="1"/>
      <c r="R76" s="1"/>
      <c r="S76" s="1"/>
      <c r="T76" s="1"/>
      <c r="U76" s="1"/>
      <c r="V76" s="1"/>
      <c r="W76" s="108"/>
      <c r="X76" s="1"/>
      <c r="Y76" s="112"/>
      <c r="Z76" s="110"/>
      <c r="AA76" s="110"/>
      <c r="AB76" s="110"/>
      <c r="AC76" s="110"/>
      <c r="AD76" s="110"/>
      <c r="AE76" s="105"/>
      <c r="AF76" s="2"/>
    </row>
    <row r="77" spans="1:32">
      <c r="A77" s="117"/>
      <c r="B77" s="7"/>
      <c r="C77" s="78" t="str">
        <f>CONCATENATE(Sommaire!B45," chèque de caution de ",Sommaire!J45,"€")</f>
        <v>0 chèque de caution de 0€</v>
      </c>
      <c r="D77" s="78"/>
      <c r="E77" s="78"/>
      <c r="F77" s="78"/>
      <c r="G77" s="78"/>
      <c r="H77" s="78"/>
      <c r="I77" s="78"/>
      <c r="J77" s="78"/>
      <c r="K77" s="78"/>
      <c r="L77" s="78"/>
      <c r="M77" s="78"/>
      <c r="N77" s="78"/>
      <c r="O77" s="78"/>
      <c r="P77" s="1"/>
      <c r="Q77" s="1"/>
      <c r="R77" s="1"/>
      <c r="S77" s="1"/>
      <c r="T77" s="1"/>
      <c r="U77" s="1"/>
      <c r="V77" s="1"/>
      <c r="W77" s="108"/>
      <c r="X77" s="1"/>
      <c r="Y77" s="112"/>
      <c r="Z77" s="110"/>
      <c r="AA77" s="110"/>
      <c r="AB77" s="110"/>
      <c r="AC77" s="110"/>
      <c r="AD77" s="110"/>
      <c r="AE77" s="105"/>
      <c r="AF77" s="2"/>
    </row>
    <row r="78" spans="1:32">
      <c r="A78" s="117"/>
      <c r="B78" s="7"/>
      <c r="C78" s="78" t="str">
        <f ca="1">CONCATENATE(Sommaire!B40," certificat médical daté d'après le 1er juillet "&amp;VLOOKUP("Année",Paramètres,3,FALSE)&amp;" valable 3 ans pour les vétérans de - 65 ans)")</f>
        <v>1 certificat médical daté d'après le 1er juillet 2024 valable 3 ans pour les vétérans de - 65 ans)</v>
      </c>
      <c r="D78" s="78"/>
      <c r="E78" s="78"/>
      <c r="F78" s="78"/>
      <c r="G78" s="78"/>
      <c r="H78" s="78"/>
      <c r="I78" s="78"/>
      <c r="J78" s="78"/>
      <c r="K78" s="78"/>
      <c r="L78" s="78"/>
      <c r="M78" s="78"/>
      <c r="N78" s="78"/>
      <c r="O78" s="78"/>
      <c r="P78" s="78"/>
      <c r="Q78" s="78"/>
      <c r="R78" s="1"/>
      <c r="S78" s="1"/>
      <c r="T78" s="1"/>
      <c r="U78" s="1"/>
      <c r="V78" s="1"/>
      <c r="W78" s="108"/>
      <c r="X78" s="1"/>
      <c r="Y78" s="112"/>
      <c r="Z78" s="110"/>
      <c r="AA78" s="110"/>
      <c r="AB78" s="110"/>
      <c r="AC78" s="110"/>
      <c r="AD78" s="110"/>
      <c r="AE78" s="28"/>
      <c r="AF78" s="2"/>
    </row>
    <row r="79" spans="1:32" ht="3.95" customHeight="1">
      <c r="A79" s="117"/>
      <c r="B79" s="30"/>
      <c r="C79" s="75"/>
      <c r="D79" s="75"/>
      <c r="E79" s="75"/>
      <c r="F79" s="75"/>
      <c r="G79" s="75"/>
      <c r="H79" s="75"/>
      <c r="I79" s="75"/>
      <c r="J79" s="399"/>
      <c r="K79" s="399"/>
      <c r="L79" s="399"/>
      <c r="M79" s="6"/>
      <c r="N79" s="31"/>
      <c r="O79" s="31"/>
      <c r="P79" s="6"/>
      <c r="Q79" s="6"/>
      <c r="R79" s="6"/>
      <c r="S79" s="6"/>
      <c r="T79" s="6"/>
      <c r="U79" s="6"/>
      <c r="V79" s="6"/>
      <c r="W79" s="6"/>
      <c r="X79" s="6"/>
      <c r="Y79" s="30"/>
      <c r="Z79" s="6"/>
      <c r="AA79" s="6"/>
      <c r="AB79" s="6"/>
      <c r="AC79" s="6"/>
      <c r="AD79" s="6"/>
      <c r="AE79" s="29"/>
      <c r="AF79" s="2"/>
    </row>
    <row r="80" spans="1:32">
      <c r="A80" s="117"/>
      <c r="B80" s="60" t="s">
        <v>172</v>
      </c>
      <c r="C80" s="60"/>
      <c r="D80" s="60"/>
      <c r="E80" s="60"/>
      <c r="F80" s="396">
        <f ca="1">TODAY()</f>
        <v>45483</v>
      </c>
      <c r="G80" s="396"/>
      <c r="H80" s="396"/>
      <c r="I80" s="396"/>
      <c r="J80" s="396"/>
      <c r="K80" s="396"/>
      <c r="L80" s="396"/>
      <c r="M80" s="2"/>
      <c r="N80" s="2"/>
      <c r="O80" s="2"/>
      <c r="P80" s="2"/>
      <c r="Q80" s="2"/>
      <c r="R80" s="2"/>
      <c r="S80" s="2"/>
      <c r="T80" s="2"/>
      <c r="U80" s="2"/>
      <c r="V80" s="2"/>
      <c r="W80" s="2"/>
      <c r="X80" s="2"/>
      <c r="Y80" s="2"/>
      <c r="Z80" s="61"/>
      <c r="AA80" s="61"/>
      <c r="AB80" s="61"/>
      <c r="AC80" s="61"/>
      <c r="AD80" s="2"/>
      <c r="AE80" s="151" t="s">
        <v>173</v>
      </c>
      <c r="AF80" s="2"/>
    </row>
  </sheetData>
  <sheetProtection password="E8DD" sheet="1" objects="1" scenarios="1"/>
  <mergeCells count="66">
    <mergeCell ref="Q68:V68"/>
    <mergeCell ref="X68:AC68"/>
    <mergeCell ref="M46:R46"/>
    <mergeCell ref="M33:R33"/>
    <mergeCell ref="U62:X66"/>
    <mergeCell ref="H56:AD56"/>
    <mergeCell ref="I55:R55"/>
    <mergeCell ref="W51:AD51"/>
    <mergeCell ref="C59:Y59"/>
    <mergeCell ref="C52:G52"/>
    <mergeCell ref="H52:AD52"/>
    <mergeCell ref="H51:J51"/>
    <mergeCell ref="C56:G56"/>
    <mergeCell ref="X2:AE2"/>
    <mergeCell ref="X4:AE4"/>
    <mergeCell ref="U2:W2"/>
    <mergeCell ref="U3:W3"/>
    <mergeCell ref="U4:W4"/>
    <mergeCell ref="X3:AE3"/>
    <mergeCell ref="F80:L80"/>
    <mergeCell ref="Z25:AD25"/>
    <mergeCell ref="Z26:AD26"/>
    <mergeCell ref="Z27:AD27"/>
    <mergeCell ref="J79:L79"/>
    <mergeCell ref="C37:AD39"/>
    <mergeCell ref="C40:AD42"/>
    <mergeCell ref="C60:G60"/>
    <mergeCell ref="H60:AD60"/>
    <mergeCell ref="B62:I62"/>
    <mergeCell ref="B74:H74"/>
    <mergeCell ref="C25:Y25"/>
    <mergeCell ref="Y62:AE62"/>
    <mergeCell ref="Y74:AE74"/>
    <mergeCell ref="Y63:AE63"/>
    <mergeCell ref="C30:AD31"/>
    <mergeCell ref="G22:L22"/>
    <mergeCell ref="Z15:AD15"/>
    <mergeCell ref="C26:Y26"/>
    <mergeCell ref="C27:Y27"/>
    <mergeCell ref="B24:F24"/>
    <mergeCell ref="O21:W21"/>
    <mergeCell ref="E21:K21"/>
    <mergeCell ref="S22:X22"/>
    <mergeCell ref="E15:K15"/>
    <mergeCell ref="O15:W15"/>
    <mergeCell ref="C18:D18"/>
    <mergeCell ref="X18:AC18"/>
    <mergeCell ref="E18:R18"/>
    <mergeCell ref="F16:AD16"/>
    <mergeCell ref="N17:AD17"/>
    <mergeCell ref="G17:I17"/>
    <mergeCell ref="D8:J8"/>
    <mergeCell ref="AA8:AE8"/>
    <mergeCell ref="M10:X10"/>
    <mergeCell ref="M12:O12"/>
    <mergeCell ref="T12:W12"/>
    <mergeCell ref="K8:M8"/>
    <mergeCell ref="E11:R11"/>
    <mergeCell ref="O8:R8"/>
    <mergeCell ref="F9:AC9"/>
    <mergeCell ref="G10:I10"/>
    <mergeCell ref="H12:I12"/>
    <mergeCell ref="T8:Y8"/>
    <mergeCell ref="C11:D11"/>
    <mergeCell ref="X11:AC11"/>
    <mergeCell ref="C12:E12"/>
  </mergeCells>
  <printOptions horizontalCentered="1" verticalCentered="1"/>
  <pageMargins left="0" right="0" top="0" bottom="0" header="0" footer="0"/>
  <pageSetup paperSize="9" scale="9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sheetPr codeName="Feuil7"/>
  <dimension ref="A1:BL64"/>
  <sheetViews>
    <sheetView showGridLines="0" topLeftCell="AH1" workbookViewId="0">
      <pane xSplit="28350" topLeftCell="AQ1"/>
      <selection activeCell="D8" sqref="D8"/>
      <selection pane="topRight" activeCell="AQ1" sqref="AQ1"/>
    </sheetView>
  </sheetViews>
  <sheetFormatPr baseColWidth="10" defaultColWidth="11.5703125" defaultRowHeight="12.75"/>
  <cols>
    <col min="1" max="1" width="8.5703125" style="88" customWidth="1"/>
    <col min="2" max="2" width="31.85546875" style="88" customWidth="1"/>
    <col min="3" max="3" width="15.28515625" style="88" customWidth="1"/>
    <col min="4" max="7" width="18.140625" style="88" customWidth="1"/>
    <col min="8" max="8" width="10.5703125" style="88" customWidth="1"/>
    <col min="9" max="9" width="14.5703125" style="88" customWidth="1"/>
    <col min="10" max="10" width="11.5703125" style="88"/>
    <col min="11" max="11" width="10.42578125" style="88" customWidth="1"/>
    <col min="12" max="12" width="15.140625" style="88" customWidth="1"/>
    <col min="13" max="13" width="19.42578125" style="88" customWidth="1"/>
    <col min="14" max="14" width="10.5703125" style="88" customWidth="1"/>
    <col min="15" max="15" width="8.85546875" style="88" customWidth="1"/>
    <col min="16" max="16" width="18.85546875" style="88" customWidth="1"/>
    <col min="17" max="17" width="13.7109375" style="88" bestFit="1" customWidth="1"/>
    <col min="18" max="18" width="10.5703125" style="88" customWidth="1"/>
    <col min="19" max="19" width="13.7109375" style="88" bestFit="1" customWidth="1"/>
    <col min="20" max="20" width="15.28515625" style="88" customWidth="1"/>
    <col min="21" max="21" width="14.85546875" style="88" bestFit="1" customWidth="1"/>
    <col min="22" max="22" width="11.7109375" style="88" customWidth="1"/>
    <col min="23" max="23" width="12" style="88" customWidth="1"/>
    <col min="24" max="24" width="8.7109375" style="88" bestFit="1" customWidth="1"/>
    <col min="25" max="25" width="10.5703125" style="88" customWidth="1"/>
    <col min="26" max="26" width="8.28515625" style="88" customWidth="1"/>
    <col min="27" max="27" width="10.5703125" style="88" customWidth="1"/>
    <col min="28" max="28" width="8.140625" style="88" customWidth="1"/>
    <col min="29" max="29" width="16.7109375" style="88" customWidth="1"/>
    <col min="30" max="30" width="8.7109375" style="88" customWidth="1"/>
    <col min="31" max="31" width="13.85546875" style="88" customWidth="1"/>
    <col min="32" max="32" width="8.85546875" style="88" customWidth="1"/>
    <col min="33" max="33" width="16" style="88" customWidth="1"/>
    <col min="34" max="34" width="10.85546875" style="88" customWidth="1"/>
    <col min="35" max="35" width="18.85546875" style="88" customWidth="1"/>
    <col min="36" max="36" width="12.5703125" style="88" customWidth="1"/>
    <col min="37" max="37" width="9.85546875" style="88" bestFit="1" customWidth="1"/>
    <col min="38" max="38" width="13.42578125" style="88" bestFit="1" customWidth="1"/>
    <col min="39" max="39" width="11.5703125" style="88"/>
    <col min="40" max="40" width="15.140625" style="88" bestFit="1" customWidth="1"/>
    <col min="41" max="41" width="18.140625" style="88" customWidth="1"/>
    <col min="42" max="42" width="17.28515625" style="88" customWidth="1"/>
    <col min="43" max="44" width="18.140625" style="88" customWidth="1"/>
    <col min="45" max="45" width="19.140625" style="88" customWidth="1"/>
    <col min="46" max="46" width="19.5703125" style="88" customWidth="1"/>
    <col min="47" max="47" width="12" style="88" customWidth="1"/>
    <col min="48" max="48" width="11.85546875" style="88" bestFit="1" customWidth="1"/>
    <col min="49" max="49" width="13.42578125" style="88" customWidth="1"/>
    <col min="50" max="50" width="11.7109375" style="88" customWidth="1"/>
    <col min="51" max="53" width="9.140625" style="88" bestFit="1" customWidth="1"/>
    <col min="54" max="54" width="13.7109375" style="88" customWidth="1"/>
    <col min="55" max="55" width="15.7109375" style="88" customWidth="1"/>
    <col min="56" max="57" width="13.28515625" style="88" bestFit="1" customWidth="1"/>
    <col min="58" max="62" width="11.5703125" style="88"/>
    <col min="63" max="63" width="12.7109375" style="88" customWidth="1"/>
    <col min="64" max="16384" width="11.5703125" style="88"/>
  </cols>
  <sheetData>
    <row r="1" spans="1:10" ht="18" thickBot="1">
      <c r="A1" s="429" t="s">
        <v>174</v>
      </c>
      <c r="B1" s="429"/>
      <c r="C1" s="429"/>
      <c r="D1" s="429"/>
      <c r="E1" s="429"/>
      <c r="F1" s="429"/>
      <c r="G1" s="429"/>
      <c r="H1" s="429"/>
      <c r="I1" s="429"/>
      <c r="J1" s="429"/>
    </row>
    <row r="2" spans="1:10" ht="13.5" thickTop="1">
      <c r="B2" s="88" t="s">
        <v>258</v>
      </c>
    </row>
    <row r="3" spans="1:10">
      <c r="B3" s="88" t="s">
        <v>175</v>
      </c>
    </row>
    <row r="4" spans="1:10">
      <c r="B4" s="88" t="s">
        <v>176</v>
      </c>
    </row>
    <row r="5" spans="1:10">
      <c r="B5" s="88" t="s">
        <v>273</v>
      </c>
    </row>
    <row r="6" spans="1:10">
      <c r="B6" s="88" t="s">
        <v>177</v>
      </c>
    </row>
    <row r="8" spans="1:10" ht="18" thickBot="1">
      <c r="A8" s="429" t="s">
        <v>178</v>
      </c>
      <c r="B8" s="429"/>
      <c r="C8" s="89"/>
    </row>
    <row r="9" spans="1:10" ht="13.5" thickTop="1"/>
    <row r="10" spans="1:10">
      <c r="B10" s="88" t="s">
        <v>268</v>
      </c>
      <c r="C10" s="88" t="s">
        <v>272</v>
      </c>
      <c r="D10" s="88" t="s">
        <v>270</v>
      </c>
      <c r="E10" s="88" t="s">
        <v>271</v>
      </c>
    </row>
    <row r="11" spans="1:10">
      <c r="B11" s="88" t="s">
        <v>1</v>
      </c>
      <c r="C11" s="89" t="s">
        <v>323</v>
      </c>
      <c r="D11" s="89">
        <f ca="1">YEAR(TODAY())</f>
        <v>2024</v>
      </c>
      <c r="E11" s="89" t="s">
        <v>276</v>
      </c>
    </row>
    <row r="12" spans="1:10">
      <c r="B12" s="88" t="s">
        <v>179</v>
      </c>
      <c r="C12" s="89" t="s">
        <v>287</v>
      </c>
      <c r="D12" s="89" t="s">
        <v>287</v>
      </c>
      <c r="E12" s="89" t="s">
        <v>279</v>
      </c>
    </row>
    <row r="13" spans="1:10">
      <c r="B13" s="88" t="s">
        <v>322</v>
      </c>
      <c r="C13" s="89" t="s">
        <v>325</v>
      </c>
      <c r="D13" s="89"/>
      <c r="E13" s="89"/>
    </row>
    <row r="14" spans="1:10">
      <c r="B14" s="88" t="s">
        <v>37</v>
      </c>
      <c r="C14" s="88">
        <v>0</v>
      </c>
      <c r="D14" s="88">
        <v>0</v>
      </c>
      <c r="E14" s="88">
        <v>0</v>
      </c>
    </row>
    <row r="15" spans="1:10">
      <c r="B15" s="88" t="s">
        <v>39</v>
      </c>
      <c r="C15" s="88">
        <v>3</v>
      </c>
      <c r="D15" s="88">
        <v>3</v>
      </c>
      <c r="E15" s="88">
        <v>3</v>
      </c>
    </row>
    <row r="16" spans="1:10">
      <c r="B16" s="90" t="s">
        <v>180</v>
      </c>
      <c r="C16" s="90">
        <v>80</v>
      </c>
      <c r="D16" s="90">
        <v>80</v>
      </c>
      <c r="E16" s="90">
        <v>80</v>
      </c>
    </row>
    <row r="17" spans="2:5">
      <c r="B17" s="90" t="s">
        <v>181</v>
      </c>
      <c r="C17" s="90">
        <v>80</v>
      </c>
      <c r="D17" s="90">
        <v>80</v>
      </c>
      <c r="E17" s="90">
        <v>80</v>
      </c>
    </row>
    <row r="18" spans="2:5">
      <c r="B18" s="90" t="s">
        <v>182</v>
      </c>
      <c r="C18" s="90">
        <v>80</v>
      </c>
      <c r="D18" s="90">
        <v>80</v>
      </c>
      <c r="E18" s="90">
        <v>80</v>
      </c>
    </row>
    <row r="19" spans="2:5">
      <c r="B19" s="90" t="s">
        <v>264</v>
      </c>
      <c r="C19" s="90">
        <v>80</v>
      </c>
      <c r="D19" s="90">
        <v>80</v>
      </c>
      <c r="E19" s="90">
        <v>80</v>
      </c>
    </row>
    <row r="20" spans="2:5">
      <c r="B20" s="90" t="s">
        <v>265</v>
      </c>
      <c r="C20" s="90">
        <v>80</v>
      </c>
      <c r="D20" s="90">
        <v>80</v>
      </c>
      <c r="E20" s="90">
        <v>80</v>
      </c>
    </row>
    <row r="21" spans="2:5">
      <c r="B21" s="90" t="s">
        <v>266</v>
      </c>
      <c r="C21" s="90">
        <v>80</v>
      </c>
      <c r="D21" s="90">
        <v>80</v>
      </c>
      <c r="E21" s="90">
        <v>80</v>
      </c>
    </row>
    <row r="22" spans="2:5">
      <c r="B22" s="90" t="s">
        <v>249</v>
      </c>
      <c r="C22" s="90">
        <v>60</v>
      </c>
      <c r="D22" s="261">
        <v>60</v>
      </c>
      <c r="E22" s="90">
        <v>60</v>
      </c>
    </row>
    <row r="23" spans="2:5">
      <c r="B23" s="90" t="s">
        <v>250</v>
      </c>
      <c r="C23" s="90">
        <v>60</v>
      </c>
      <c r="D23" s="261">
        <v>60</v>
      </c>
      <c r="E23" s="90">
        <v>60</v>
      </c>
    </row>
    <row r="24" spans="2:5">
      <c r="B24" s="90" t="s">
        <v>251</v>
      </c>
      <c r="C24" s="90">
        <v>60</v>
      </c>
      <c r="D24" s="261">
        <v>60</v>
      </c>
      <c r="E24" s="90">
        <v>60</v>
      </c>
    </row>
    <row r="25" spans="2:5">
      <c r="B25" s="90" t="s">
        <v>248</v>
      </c>
      <c r="C25" s="90">
        <v>30</v>
      </c>
      <c r="D25" s="90">
        <v>30</v>
      </c>
      <c r="E25" s="260"/>
    </row>
    <row r="26" spans="2:5">
      <c r="B26" s="90" t="s">
        <v>252</v>
      </c>
      <c r="C26" s="90">
        <v>30</v>
      </c>
      <c r="D26" s="90">
        <v>30</v>
      </c>
      <c r="E26" s="260"/>
    </row>
    <row r="27" spans="2:5">
      <c r="B27" s="90" t="s">
        <v>253</v>
      </c>
      <c r="C27" s="90">
        <v>30</v>
      </c>
      <c r="D27" s="90">
        <v>30</v>
      </c>
      <c r="E27" s="260"/>
    </row>
    <row r="28" spans="2:5">
      <c r="B28" s="90" t="s">
        <v>284</v>
      </c>
      <c r="C28" s="90">
        <v>60</v>
      </c>
      <c r="D28" s="90">
        <v>60</v>
      </c>
      <c r="E28" s="90"/>
    </row>
    <row r="29" spans="2:5">
      <c r="B29" s="90" t="s">
        <v>302</v>
      </c>
      <c r="C29" s="90">
        <v>40</v>
      </c>
      <c r="D29" s="90">
        <v>40</v>
      </c>
      <c r="E29" s="90"/>
    </row>
    <row r="30" spans="2:5">
      <c r="B30" s="90" t="s">
        <v>324</v>
      </c>
      <c r="C30" s="90">
        <v>10</v>
      </c>
      <c r="D30" s="90">
        <v>10</v>
      </c>
      <c r="E30" s="90"/>
    </row>
    <row r="31" spans="2:5">
      <c r="B31" s="90" t="s">
        <v>303</v>
      </c>
      <c r="C31" s="90">
        <v>62</v>
      </c>
      <c r="D31" s="90">
        <v>62</v>
      </c>
      <c r="E31" s="90"/>
    </row>
    <row r="32" spans="2:5">
      <c r="B32" s="90" t="s">
        <v>183</v>
      </c>
      <c r="C32" s="90">
        <v>75</v>
      </c>
      <c r="D32" s="90">
        <v>75</v>
      </c>
      <c r="E32" s="90"/>
    </row>
    <row r="33" spans="1:64">
      <c r="B33" s="90" t="s">
        <v>125</v>
      </c>
      <c r="C33" s="90">
        <v>25</v>
      </c>
      <c r="D33" s="90">
        <v>25</v>
      </c>
      <c r="E33" s="90"/>
    </row>
    <row r="34" spans="1:64">
      <c r="B34" s="88" t="s">
        <v>118</v>
      </c>
      <c r="C34" s="88">
        <v>0</v>
      </c>
      <c r="D34" s="88">
        <v>0</v>
      </c>
    </row>
    <row r="36" spans="1:64" ht="18" thickBot="1">
      <c r="A36" s="430" t="s">
        <v>184</v>
      </c>
      <c r="B36" s="430"/>
      <c r="C36" s="430"/>
      <c r="D36" s="430"/>
      <c r="E36" s="248"/>
      <c r="F36" s="249"/>
      <c r="G36" s="249"/>
      <c r="H36" s="249"/>
    </row>
    <row r="37" spans="1:64" s="89" customFormat="1" ht="13.5" thickTop="1"/>
    <row r="38" spans="1:64" s="89" customFormat="1">
      <c r="A38" s="427" t="s">
        <v>185</v>
      </c>
      <c r="B38" s="427"/>
      <c r="C38" s="427"/>
      <c r="D38" s="427"/>
      <c r="E38" s="427"/>
      <c r="F38" s="427"/>
      <c r="G38" s="427"/>
      <c r="H38" s="427"/>
      <c r="I38" s="427"/>
      <c r="J38" s="427"/>
      <c r="K38" s="427"/>
      <c r="L38" s="427"/>
      <c r="M38" s="427"/>
      <c r="N38" s="428"/>
      <c r="O38" s="176" t="s">
        <v>186</v>
      </c>
      <c r="P38" s="426" t="s">
        <v>187</v>
      </c>
      <c r="Q38" s="427"/>
      <c r="R38" s="427"/>
      <c r="S38" s="427"/>
      <c r="T38" s="427"/>
      <c r="U38" s="427"/>
      <c r="V38" s="428"/>
      <c r="W38" s="426" t="s">
        <v>319</v>
      </c>
      <c r="X38" s="427"/>
      <c r="Y38" s="427"/>
      <c r="Z38" s="427"/>
      <c r="AA38" s="427"/>
      <c r="AB38" s="427"/>
      <c r="AC38" s="427"/>
      <c r="AD38" s="427"/>
      <c r="AE38" s="427"/>
      <c r="AF38" s="428"/>
      <c r="AG38" s="426" t="s">
        <v>188</v>
      </c>
      <c r="AH38" s="427"/>
      <c r="AI38" s="428"/>
      <c r="AJ38" s="426" t="s">
        <v>189</v>
      </c>
      <c r="AK38" s="427"/>
      <c r="AL38" s="428"/>
      <c r="AM38" s="426" t="s">
        <v>190</v>
      </c>
      <c r="AN38" s="431"/>
      <c r="AO38" s="428"/>
      <c r="AP38" s="426" t="s">
        <v>191</v>
      </c>
      <c r="AQ38" s="427"/>
      <c r="AR38" s="428"/>
      <c r="AS38" s="426" t="s">
        <v>192</v>
      </c>
      <c r="AT38" s="427"/>
      <c r="AU38" s="428"/>
      <c r="AV38" s="426" t="s">
        <v>132</v>
      </c>
      <c r="AW38" s="427"/>
      <c r="AX38" s="428"/>
      <c r="AY38" s="426" t="s">
        <v>193</v>
      </c>
      <c r="AZ38" s="427"/>
      <c r="BA38" s="427"/>
      <c r="BB38" s="427"/>
      <c r="BC38" s="428"/>
      <c r="BD38" s="426" t="s">
        <v>194</v>
      </c>
      <c r="BE38" s="427"/>
      <c r="BF38" s="427"/>
      <c r="BG38" s="427"/>
      <c r="BH38" s="427"/>
      <c r="BI38" s="427"/>
      <c r="BJ38" s="427"/>
      <c r="BK38" s="428"/>
    </row>
    <row r="39" spans="1:64" s="89" customFormat="1">
      <c r="A39" s="175" t="s">
        <v>195</v>
      </c>
      <c r="B39" s="175" t="s">
        <v>71</v>
      </c>
      <c r="C39" s="175" t="s">
        <v>73</v>
      </c>
      <c r="D39" s="175" t="s">
        <v>74</v>
      </c>
      <c r="E39" s="256" t="s">
        <v>260</v>
      </c>
      <c r="F39" s="252" t="s">
        <v>261</v>
      </c>
      <c r="G39" s="252" t="s">
        <v>259</v>
      </c>
      <c r="H39" s="176" t="s">
        <v>18</v>
      </c>
      <c r="I39" s="176" t="s">
        <v>76</v>
      </c>
      <c r="J39" s="176" t="s">
        <v>196</v>
      </c>
      <c r="K39" s="176" t="s">
        <v>81</v>
      </c>
      <c r="L39" s="176" t="s">
        <v>197</v>
      </c>
      <c r="M39" s="176" t="s">
        <v>82</v>
      </c>
      <c r="N39" s="252" t="s">
        <v>255</v>
      </c>
      <c r="O39" s="175" t="s">
        <v>14</v>
      </c>
      <c r="P39" s="175" t="s">
        <v>291</v>
      </c>
      <c r="Q39" s="175" t="s">
        <v>198</v>
      </c>
      <c r="R39" s="175" t="s">
        <v>14</v>
      </c>
      <c r="S39" s="175" t="s">
        <v>199</v>
      </c>
      <c r="T39" s="175" t="s">
        <v>200</v>
      </c>
      <c r="U39" s="175" t="s">
        <v>201</v>
      </c>
      <c r="V39" s="175" t="s">
        <v>202</v>
      </c>
      <c r="W39" s="176" t="str">
        <f>Sommaire!$R$41</f>
        <v>chèque</v>
      </c>
      <c r="X39" s="175" t="s">
        <v>203</v>
      </c>
      <c r="Y39" s="176" t="str">
        <f>Sommaire!$R$41</f>
        <v>chèque</v>
      </c>
      <c r="Z39" s="175" t="s">
        <v>203</v>
      </c>
      <c r="AA39" s="176" t="str">
        <f>Sommaire!$R$41</f>
        <v>chèque</v>
      </c>
      <c r="AB39" s="175" t="s">
        <v>203</v>
      </c>
      <c r="AC39" s="176" t="str">
        <f>CONCATENATE(Sommaire!$R$41," Loc/achat")</f>
        <v>chèque Loc/achat</v>
      </c>
      <c r="AD39" s="175" t="s">
        <v>203</v>
      </c>
      <c r="AE39" s="176" t="s">
        <v>204</v>
      </c>
      <c r="AF39" s="175" t="s">
        <v>203</v>
      </c>
      <c r="AG39" s="176" t="s">
        <v>205</v>
      </c>
      <c r="AH39" s="175" t="s">
        <v>14</v>
      </c>
      <c r="AI39" s="175" t="s">
        <v>206</v>
      </c>
      <c r="AJ39" s="178" t="s">
        <v>102</v>
      </c>
      <c r="AK39" s="178" t="s">
        <v>207</v>
      </c>
      <c r="AL39" s="175" t="s">
        <v>282</v>
      </c>
      <c r="AM39" s="176" t="s">
        <v>18</v>
      </c>
      <c r="AN39" s="175" t="s">
        <v>208</v>
      </c>
      <c r="AO39" s="175" t="s">
        <v>116</v>
      </c>
      <c r="AP39" s="176" t="str">
        <f>Cotisation!B35</f>
        <v>Location tenue ≤10ans (veste + pantalon + sous-cuirasse + masque)</v>
      </c>
      <c r="AQ39" s="177" t="str">
        <f>Cotisation!B36</f>
        <v>Location tenue ≥11ans (veste + pantalon + masque)</v>
      </c>
      <c r="AR39" s="177" t="str">
        <f>Cotisation!B37</f>
        <v>Location masque seul</v>
      </c>
      <c r="AS39" s="176" t="str">
        <f>Cotisation!B38</f>
        <v>Achat sous cuirasse 800N enfant de 11 à 14 ans</v>
      </c>
      <c r="AT39" s="176" t="str">
        <f>Cotisation!B39</f>
        <v xml:space="preserve">Achat sous cuirasse 800N (plus de 15 ans inclu) </v>
      </c>
      <c r="AU39" s="175" t="str">
        <f>Cotisation!B40</f>
        <v>Achat gant</v>
      </c>
      <c r="AV39" s="175" t="s">
        <v>209</v>
      </c>
      <c r="AW39" s="175" t="s">
        <v>210</v>
      </c>
      <c r="AX39" s="175" t="s">
        <v>211</v>
      </c>
      <c r="AY39" s="176" t="s">
        <v>212</v>
      </c>
      <c r="AZ39" s="176" t="s">
        <v>71</v>
      </c>
      <c r="BA39" s="176" t="s">
        <v>73</v>
      </c>
      <c r="BB39" s="176" t="s">
        <v>87</v>
      </c>
      <c r="BC39" s="175" t="s">
        <v>96</v>
      </c>
      <c r="BD39" s="176" t="s">
        <v>212</v>
      </c>
      <c r="BE39" s="176" t="s">
        <v>71</v>
      </c>
      <c r="BF39" s="175" t="s">
        <v>73</v>
      </c>
      <c r="BG39" s="175" t="s">
        <v>76</v>
      </c>
      <c r="BH39" s="175" t="s">
        <v>196</v>
      </c>
      <c r="BI39" s="175" t="s">
        <v>81</v>
      </c>
      <c r="BJ39" s="175" t="s">
        <v>82</v>
      </c>
      <c r="BK39" s="176" t="s">
        <v>86</v>
      </c>
      <c r="BL39" s="175" t="s">
        <v>98</v>
      </c>
    </row>
    <row r="40" spans="1:64" s="89" customFormat="1">
      <c r="A40" s="174" t="str">
        <f>IF(Coordonnées!$B$7="Monsieur","H","F")</f>
        <v>F</v>
      </c>
      <c r="B40" s="180" t="str">
        <f>UPPER(Coordonnées!$D$7)</f>
        <v/>
      </c>
      <c r="C40" s="180" t="str">
        <f>PROPER(Coordonnées!H7)</f>
        <v/>
      </c>
      <c r="D40" s="207">
        <f>Coordonnées!$K$7</f>
        <v>0</v>
      </c>
      <c r="E40" s="173" t="str">
        <f>UPPER(Coordonnées!$B$10)</f>
        <v/>
      </c>
      <c r="F40" s="173" t="str">
        <f>UPPER(Coordonnées!$D$10)</f>
        <v/>
      </c>
      <c r="G40" s="173" t="str">
        <f>UPPER(Coordonnées!$H$10)</f>
        <v/>
      </c>
      <c r="H40" s="173">
        <f>Assurance!$D$25</f>
        <v>0</v>
      </c>
      <c r="I40" s="173">
        <f>Coordonnées!$B$13</f>
        <v>0</v>
      </c>
      <c r="J40" s="173">
        <f>Coordonnées!$B$16</f>
        <v>0</v>
      </c>
      <c r="K40" s="173" t="str">
        <f>UPPER(Coordonnées!$D$16)</f>
        <v/>
      </c>
      <c r="L40" s="182" t="str">
        <f>IF(ISBLANK(Coordonnées!$H$19),"",Coordonnées!$H$19)</f>
        <v/>
      </c>
      <c r="M40" s="187" t="str">
        <f>IF(ISBLANK(Coordonnées!$B$19),"",LOWER(Coordonnées!$B$19))</f>
        <v/>
      </c>
      <c r="N40" s="208">
        <f>Coordonnées!$I$47</f>
        <v>0</v>
      </c>
      <c r="O40" s="180" t="str">
        <f ca="1">Imprimé!X4</f>
        <v>Incomplet</v>
      </c>
      <c r="P40" s="179">
        <f>Cotisation!$E$16</f>
        <v>0</v>
      </c>
      <c r="Q40" s="179">
        <f>Sommaire!$J$23</f>
        <v>0</v>
      </c>
      <c r="R40" s="179"/>
      <c r="S40" s="185">
        <f ca="1">TODAY()</f>
        <v>45483</v>
      </c>
      <c r="T40" s="251" t="str">
        <f>IF(Cotisation!$D$14="Tarif sans licence (1)","X","18024")</f>
        <v>18024</v>
      </c>
      <c r="U40" s="251"/>
      <c r="V40" s="186">
        <f>Cotisation!$I$14+Cotisation!$I$16</f>
        <v>0</v>
      </c>
      <c r="W40" s="209">
        <f ca="1">Sommaire!J$41</f>
        <v>0</v>
      </c>
      <c r="X40" s="281"/>
      <c r="Y40" s="209">
        <f ca="1">Sommaire!$J$42</f>
        <v>0</v>
      </c>
      <c r="Z40" s="281"/>
      <c r="AA40" s="210">
        <f ca="1">Sommaire!$J$43</f>
        <v>0</v>
      </c>
      <c r="AB40" s="281"/>
      <c r="AC40" s="209">
        <f>Cotisation!$I$43</f>
        <v>0</v>
      </c>
      <c r="AD40" s="180"/>
      <c r="AE40" s="174">
        <f>Sommaire!$J$45</f>
        <v>0</v>
      </c>
      <c r="AF40" s="181"/>
      <c r="AG40" s="179" t="str">
        <f>IF(ISBLANK(Cotisation!$F$21),"",Cotisation!$F$21)</f>
        <v/>
      </c>
      <c r="AH40" s="180"/>
      <c r="AI40" s="179"/>
      <c r="AJ40" s="208" t="str">
        <f>Coordonnées!N49</f>
        <v>-</v>
      </c>
      <c r="AK40" s="180">
        <f>Coordonnées!$E$45</f>
        <v>0</v>
      </c>
      <c r="AL40" s="180">
        <f>Coordonnées!$K$45</f>
        <v>0</v>
      </c>
      <c r="AM40" s="173">
        <f>Assurance!$D$25</f>
        <v>0</v>
      </c>
      <c r="AN40" s="180">
        <f>Assurance!$J$25</f>
        <v>0</v>
      </c>
      <c r="AO40" s="180">
        <f>Cotisation!$D$14</f>
        <v>0</v>
      </c>
      <c r="AP40" s="173">
        <f>Cotisation!$F$35</f>
        <v>0</v>
      </c>
      <c r="AQ40" s="173">
        <f>Cotisation!$F$36</f>
        <v>0</v>
      </c>
      <c r="AR40" s="173">
        <f>Cotisation!$F$37</f>
        <v>0</v>
      </c>
      <c r="AS40" s="173">
        <f>Cotisation!$F$38</f>
        <v>0</v>
      </c>
      <c r="AT40" s="173">
        <f>Cotisation!$F$39</f>
        <v>0</v>
      </c>
      <c r="AU40" s="180">
        <f>Cotisation!$F$40</f>
        <v>0</v>
      </c>
      <c r="AV40" s="179">
        <f>Autorisations!$J$8</f>
        <v>0</v>
      </c>
      <c r="AW40" s="181">
        <f>Autorisations!$J$12</f>
        <v>0</v>
      </c>
      <c r="AX40" s="181">
        <f>Autorisations!$J$16</f>
        <v>0</v>
      </c>
      <c r="AY40" s="179">
        <f>Coordonnées!$B$39</f>
        <v>0</v>
      </c>
      <c r="AZ40" s="179">
        <f>Coordonnées!$D$39</f>
        <v>0</v>
      </c>
      <c r="BA40" s="179">
        <f>Coordonnées!$H$39</f>
        <v>0</v>
      </c>
      <c r="BB40" s="182">
        <f>Coordonnées!$B$41</f>
        <v>0</v>
      </c>
      <c r="BC40" s="183" t="str">
        <f>IF(ISBLANK(Coordonnées!$F$41),"",Coordonnées!$F$41)</f>
        <v/>
      </c>
      <c r="BD40" s="184">
        <f>Coordonnées!$B$24</f>
        <v>0</v>
      </c>
      <c r="BE40" s="184" t="str">
        <f ca="1">Coordonnées!$D$24</f>
        <v>Ne pas remplir</v>
      </c>
      <c r="BF40" s="184" t="str">
        <f ca="1">Coordonnées!$H$24</f>
        <v>Ne pas remplir</v>
      </c>
      <c r="BG40" s="184" t="str">
        <f ca="1">Coordonnées!$B$27</f>
        <v>Ne pas remplir</v>
      </c>
      <c r="BH40" s="184" t="str">
        <f ca="1">Coordonnées!$B$30</f>
        <v>ne pas remplir</v>
      </c>
      <c r="BI40" s="184" t="str">
        <f ca="1">Coordonnées!$D$30</f>
        <v>Ne pas remplir</v>
      </c>
      <c r="BJ40" s="184" t="str">
        <f ca="1">Coordonnées!$B$33</f>
        <v>Ne pas remplir</v>
      </c>
      <c r="BK40" s="183" t="str">
        <f>IF(ISBLANK(Coordonnées!$H$33),"",Coordonnées!$H$33)</f>
        <v/>
      </c>
      <c r="BL40" s="179" t="str">
        <f>IF(ISBLANK(Coordonnées!$B$53),"-",Coordonnées!$B$53)</f>
        <v>Néant</v>
      </c>
    </row>
    <row r="41" spans="1:64" s="89" customFormat="1"/>
    <row r="42" spans="1:64" s="89" customFormat="1"/>
    <row r="44" spans="1:64" ht="18" thickBot="1">
      <c r="A44" s="429" t="s">
        <v>213</v>
      </c>
      <c r="B44" s="429"/>
    </row>
    <row r="45" spans="1:64" ht="13.5" thickTop="1"/>
    <row r="46" spans="1:64">
      <c r="B46" s="88" t="s">
        <v>214</v>
      </c>
      <c r="C46" s="88" t="s">
        <v>215</v>
      </c>
      <c r="D46" s="88" t="s">
        <v>216</v>
      </c>
      <c r="E46" s="88" t="s">
        <v>217</v>
      </c>
    </row>
    <row r="47" spans="1:64">
      <c r="B47" s="91">
        <v>1</v>
      </c>
      <c r="C47" s="92">
        <v>43669</v>
      </c>
      <c r="D47" s="93" t="s">
        <v>218</v>
      </c>
      <c r="E47" s="88" t="s">
        <v>219</v>
      </c>
    </row>
    <row r="48" spans="1:64">
      <c r="B48" s="91" t="s">
        <v>220</v>
      </c>
      <c r="C48" s="92">
        <v>43686</v>
      </c>
      <c r="D48" s="93" t="s">
        <v>218</v>
      </c>
      <c r="E48" s="88" t="s">
        <v>221</v>
      </c>
    </row>
    <row r="49" spans="2:8">
      <c r="B49" s="91">
        <v>2.2000000000000002</v>
      </c>
      <c r="C49" s="92">
        <v>43694</v>
      </c>
      <c r="D49" s="93" t="s">
        <v>218</v>
      </c>
      <c r="E49" s="88" t="s">
        <v>222</v>
      </c>
    </row>
    <row r="50" spans="2:8">
      <c r="B50" s="91">
        <v>2.2999999999999998</v>
      </c>
      <c r="C50" s="92">
        <v>44036</v>
      </c>
      <c r="D50" s="93" t="s">
        <v>218</v>
      </c>
      <c r="E50" s="88" t="s">
        <v>244</v>
      </c>
    </row>
    <row r="51" spans="2:8">
      <c r="B51" s="91">
        <v>2.6</v>
      </c>
      <c r="C51" s="92">
        <v>44083</v>
      </c>
      <c r="D51" s="93" t="s">
        <v>218</v>
      </c>
      <c r="E51" s="88" t="s">
        <v>257</v>
      </c>
    </row>
    <row r="52" spans="2:8">
      <c r="B52" s="91">
        <v>2.7</v>
      </c>
      <c r="C52" s="92">
        <v>44371</v>
      </c>
      <c r="D52" s="93" t="s">
        <v>218</v>
      </c>
      <c r="E52" s="88" t="s">
        <v>267</v>
      </c>
    </row>
    <row r="53" spans="2:8">
      <c r="B53" s="91">
        <v>2.8</v>
      </c>
      <c r="C53" s="92">
        <v>44372</v>
      </c>
      <c r="D53" s="93" t="s">
        <v>218</v>
      </c>
      <c r="E53" s="88" t="s">
        <v>283</v>
      </c>
    </row>
    <row r="54" spans="2:8">
      <c r="B54" s="94">
        <v>2.9</v>
      </c>
      <c r="C54" s="95">
        <v>45110</v>
      </c>
      <c r="D54" s="93" t="s">
        <v>218</v>
      </c>
      <c r="E54" s="90" t="s">
        <v>301</v>
      </c>
      <c r="F54" s="90"/>
      <c r="G54" s="90"/>
      <c r="H54" s="90"/>
    </row>
    <row r="55" spans="2:8">
      <c r="B55" s="94">
        <v>3</v>
      </c>
      <c r="C55" s="95">
        <v>45459</v>
      </c>
      <c r="D55" s="93" t="s">
        <v>218</v>
      </c>
      <c r="E55" s="90" t="s">
        <v>326</v>
      </c>
      <c r="F55" s="90"/>
      <c r="G55" s="90"/>
      <c r="H55" s="90"/>
    </row>
    <row r="56" spans="2:8">
      <c r="B56" s="94"/>
      <c r="C56" s="95"/>
      <c r="D56" s="96"/>
      <c r="E56" s="90"/>
      <c r="F56" s="90"/>
      <c r="G56" s="90"/>
      <c r="H56" s="90"/>
    </row>
    <row r="57" spans="2:8">
      <c r="B57" s="94"/>
      <c r="C57" s="95"/>
      <c r="D57" s="96"/>
      <c r="E57" s="90"/>
      <c r="F57" s="90"/>
      <c r="G57" s="90"/>
      <c r="H57" s="90"/>
    </row>
    <row r="58" spans="2:8">
      <c r="B58" s="97"/>
      <c r="C58" s="95"/>
      <c r="D58" s="96"/>
      <c r="E58" s="90"/>
      <c r="F58" s="90"/>
      <c r="G58" s="90"/>
      <c r="H58" s="90"/>
    </row>
    <row r="59" spans="2:8">
      <c r="B59" s="94"/>
      <c r="C59" s="95"/>
      <c r="D59" s="96"/>
      <c r="E59" s="90"/>
      <c r="F59" s="90"/>
      <c r="G59" s="90"/>
      <c r="H59" s="90"/>
    </row>
    <row r="60" spans="2:8">
      <c r="B60" s="94"/>
      <c r="C60" s="95"/>
      <c r="D60" s="96"/>
      <c r="E60" s="90"/>
      <c r="F60" s="90"/>
      <c r="G60" s="90"/>
      <c r="H60" s="90"/>
    </row>
    <row r="61" spans="2:8">
      <c r="B61" s="94"/>
      <c r="C61" s="95"/>
      <c r="D61" s="96"/>
      <c r="E61" s="90"/>
      <c r="F61" s="90"/>
      <c r="G61" s="90"/>
      <c r="H61" s="90"/>
    </row>
    <row r="62" spans="2:8">
      <c r="B62" s="94"/>
      <c r="C62" s="95"/>
      <c r="D62" s="96"/>
      <c r="E62" s="90"/>
      <c r="F62" s="90"/>
      <c r="G62" s="90"/>
      <c r="H62" s="90"/>
    </row>
    <row r="63" spans="2:8">
      <c r="B63" s="94"/>
      <c r="C63" s="95"/>
      <c r="D63" s="96"/>
      <c r="E63" s="98"/>
      <c r="F63" s="98"/>
      <c r="G63" s="98"/>
      <c r="H63" s="98"/>
    </row>
    <row r="64" spans="2:8">
      <c r="B64" s="91"/>
      <c r="C64" s="92"/>
      <c r="D64" s="93"/>
      <c r="E64" s="99"/>
      <c r="F64" s="99"/>
      <c r="G64" s="99"/>
      <c r="H64" s="99"/>
    </row>
  </sheetData>
  <sheetProtection password="E8DD" sheet="1" objects="1" scenarios="1"/>
  <mergeCells count="15">
    <mergeCell ref="BD38:BK38"/>
    <mergeCell ref="AJ38:AL38"/>
    <mergeCell ref="W38:AF38"/>
    <mergeCell ref="AV38:AX38"/>
    <mergeCell ref="AY38:BC38"/>
    <mergeCell ref="AG38:AI38"/>
    <mergeCell ref="AS38:AU38"/>
    <mergeCell ref="AM38:AO38"/>
    <mergeCell ref="AP38:AR38"/>
    <mergeCell ref="P38:V38"/>
    <mergeCell ref="A1:J1"/>
    <mergeCell ref="A8:B8"/>
    <mergeCell ref="A36:D36"/>
    <mergeCell ref="A44:B44"/>
    <mergeCell ref="A38:N38"/>
  </mergeCells>
  <dataValidations disablePrompts="1" count="4">
    <dataValidation type="list" allowBlank="1" showInputMessage="1" showErrorMessage="1" sqref="AH40">
      <formula1>"Envoyé,Non envoyé"</formula1>
    </dataValidation>
    <dataValidation type="list" allowBlank="1" showInputMessage="1" showErrorMessage="1" sqref="AI40">
      <formula1>"Reçu,Non reçu"</formula1>
    </dataValidation>
    <dataValidation type="list" allowBlank="1" showInputMessage="1" showErrorMessage="1" sqref="U40">
      <formula1>"1,2,3,4,5,6,7,8,9,10,11,12,13,14,15"</formula1>
    </dataValidation>
    <dataValidation type="list" allowBlank="1" showInputMessage="1" showErrorMessage="1" sqref="R40">
      <formula1>"Envoyé,Validé"</formula1>
    </dataValidation>
  </dataValidations>
  <hyperlinks>
    <hyperlink ref="D47" r:id="rId1"/>
    <hyperlink ref="D48" r:id="rId2"/>
    <hyperlink ref="D49" r:id="rId3"/>
    <hyperlink ref="D50" r:id="rId4"/>
    <hyperlink ref="D51" r:id="rId5"/>
    <hyperlink ref="D52" r:id="rId6"/>
    <hyperlink ref="D53" r:id="rId7"/>
    <hyperlink ref="D54" r:id="rId8"/>
    <hyperlink ref="D55" r:id="rId9"/>
  </hyperlinks>
  <pageMargins left="0.78749999999999998" right="0.78749999999999998" top="1.0249999999999999" bottom="1.0249999999999999" header="0.78749999999999998" footer="0.78749999999999998"/>
  <pageSetup paperSize="9" orientation="portrait" horizontalDpi="300" verticalDpi="300" r:id="rId10"/>
  <headerFooter alignWithMargins="0">
    <oddHeader>&amp;C&amp;A</oddHeader>
    <oddFooter>&amp;CPage &amp;P</oddFooter>
  </headerFooter>
  <tableParts count="2">
    <tablePart r:id="rId11"/>
    <tablePart r:id="rId12"/>
  </tableParts>
</worksheet>
</file>

<file path=xl/worksheets/sheet8.xml><?xml version="1.0" encoding="utf-8"?>
<worksheet xmlns="http://schemas.openxmlformats.org/spreadsheetml/2006/main" xmlns:r="http://schemas.openxmlformats.org/officeDocument/2006/relationships">
  <sheetPr codeName="Feuil8">
    <tabColor theme="1"/>
    <pageSetUpPr fitToPage="1"/>
  </sheetPr>
  <dimension ref="A1:AH64"/>
  <sheetViews>
    <sheetView showGridLines="0" zoomScale="90" zoomScaleNormal="90" zoomScaleSheetLayoutView="100" workbookViewId="0">
      <selection activeCell="L21" sqref="L21:P21"/>
    </sheetView>
  </sheetViews>
  <sheetFormatPr baseColWidth="10" defaultColWidth="11.5703125" defaultRowHeight="12.75"/>
  <cols>
    <col min="1" max="1" width="1" style="3" customWidth="1"/>
    <col min="2" max="5" width="2.7109375" style="3" customWidth="1"/>
    <col min="6" max="6" width="5.28515625" style="3" customWidth="1"/>
    <col min="7" max="14" width="2.7109375" style="3" customWidth="1"/>
    <col min="15" max="15" width="4" style="3" customWidth="1"/>
    <col min="16" max="18" width="2.7109375" style="3" customWidth="1"/>
    <col min="19" max="19" width="1.5703125" style="3" customWidth="1"/>
    <col min="20" max="20" width="2.85546875" style="3" customWidth="1"/>
    <col min="21" max="21" width="2.28515625" style="3" customWidth="1"/>
    <col min="22" max="22" width="2.7109375" style="3" customWidth="1"/>
    <col min="23" max="23" width="5.7109375" style="3" customWidth="1"/>
    <col min="24" max="24" width="2.7109375" style="3" customWidth="1"/>
    <col min="25" max="30" width="3.7109375" style="3" customWidth="1"/>
    <col min="31" max="31" width="3.140625" style="3" customWidth="1"/>
    <col min="32" max="32" width="1.42578125" style="3" customWidth="1"/>
    <col min="33" max="34" width="11.5703125" style="3" customWidth="1"/>
    <col min="35" max="16384" width="11.5703125" style="3"/>
  </cols>
  <sheetData>
    <row r="1" spans="1:34" ht="4.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row>
    <row r="2" spans="1:34" ht="26.25" customHeight="1">
      <c r="A2" s="2"/>
      <c r="B2" s="2"/>
      <c r="C2" s="2"/>
      <c r="D2" s="2"/>
      <c r="E2" s="2"/>
      <c r="F2" s="2"/>
      <c r="G2" s="232"/>
      <c r="H2" s="232"/>
      <c r="I2" s="232"/>
      <c r="J2" s="232"/>
      <c r="K2" s="232"/>
      <c r="L2" s="232"/>
      <c r="M2" s="232"/>
      <c r="N2" s="232"/>
      <c r="O2" s="232"/>
      <c r="P2" s="232"/>
      <c r="Q2" s="232"/>
      <c r="R2" s="232"/>
      <c r="S2" s="232"/>
      <c r="T2" s="232"/>
      <c r="U2" s="410"/>
      <c r="V2" s="410"/>
      <c r="W2" s="410"/>
      <c r="X2" s="409"/>
      <c r="Y2" s="409"/>
      <c r="Z2" s="409"/>
      <c r="AA2" s="409"/>
      <c r="AB2" s="409"/>
      <c r="AC2" s="409"/>
      <c r="AD2" s="409"/>
      <c r="AE2" s="409"/>
      <c r="AF2" s="2"/>
    </row>
    <row r="3" spans="1:34" ht="18.75" customHeight="1">
      <c r="A3" s="2"/>
      <c r="B3" s="2"/>
      <c r="C3" s="2"/>
      <c r="D3" s="2"/>
      <c r="E3" s="2"/>
      <c r="F3" s="2"/>
      <c r="G3" s="232"/>
      <c r="H3" s="232"/>
      <c r="I3" s="232"/>
      <c r="J3" s="232"/>
      <c r="K3" s="232"/>
      <c r="L3" s="232"/>
      <c r="M3" s="232"/>
      <c r="N3" s="232"/>
      <c r="O3" s="232"/>
      <c r="P3" s="232"/>
      <c r="Q3" s="232"/>
      <c r="R3" s="232"/>
      <c r="S3" s="232"/>
      <c r="T3" s="232"/>
      <c r="U3" s="432"/>
      <c r="V3" s="432"/>
      <c r="W3" s="432"/>
      <c r="X3" s="2"/>
      <c r="Y3" s="2"/>
      <c r="Z3" s="2"/>
      <c r="AA3" s="2"/>
      <c r="AB3" s="227"/>
      <c r="AC3" s="227"/>
      <c r="AD3" s="227"/>
      <c r="AE3" s="227"/>
      <c r="AF3" s="2"/>
    </row>
    <row r="4" spans="1:34" ht="12.75" customHeight="1">
      <c r="A4" s="2"/>
      <c r="B4" s="2"/>
      <c r="C4" s="2"/>
      <c r="D4" s="2"/>
      <c r="E4" s="2"/>
      <c r="F4" s="2"/>
      <c r="G4" s="232"/>
      <c r="H4" s="232"/>
      <c r="I4" s="232"/>
      <c r="J4" s="232"/>
      <c r="K4" s="232"/>
      <c r="L4" s="232"/>
      <c r="M4" s="232"/>
      <c r="N4" s="232"/>
      <c r="O4" s="232"/>
      <c r="P4" s="232"/>
      <c r="Q4" s="232"/>
      <c r="R4" s="232"/>
      <c r="S4" s="232"/>
      <c r="T4" s="232"/>
      <c r="U4" s="410"/>
      <c r="V4" s="410"/>
      <c r="W4" s="410"/>
      <c r="X4" s="227"/>
      <c r="Y4" s="227"/>
      <c r="Z4" s="227"/>
      <c r="AA4" s="227"/>
      <c r="AB4" s="227"/>
      <c r="AC4" s="227"/>
      <c r="AD4" s="227"/>
      <c r="AE4" s="227"/>
      <c r="AF4" s="2"/>
      <c r="AG4" s="9"/>
      <c r="AH4" s="9"/>
    </row>
    <row r="5" spans="1:34">
      <c r="A5" s="2"/>
      <c r="B5" s="2"/>
      <c r="C5" s="2"/>
      <c r="D5" s="2"/>
      <c r="E5" s="2"/>
      <c r="F5" s="2"/>
      <c r="G5" s="34"/>
      <c r="H5" s="2"/>
      <c r="I5" s="2"/>
      <c r="J5" s="2"/>
      <c r="K5" s="2"/>
      <c r="L5" s="2"/>
      <c r="M5" s="2"/>
      <c r="N5" s="36"/>
      <c r="O5" s="2"/>
      <c r="P5" s="2"/>
      <c r="Q5" s="2"/>
      <c r="R5" s="2"/>
      <c r="S5" s="2"/>
      <c r="T5" s="2"/>
      <c r="U5" s="34"/>
      <c r="V5" s="2"/>
      <c r="W5" s="2"/>
      <c r="X5" s="2"/>
      <c r="Y5" s="2"/>
      <c r="Z5" s="2"/>
      <c r="AA5" s="2"/>
      <c r="AB5" s="2"/>
      <c r="AC5" s="226"/>
      <c r="AD5" s="226"/>
      <c r="AE5" s="226"/>
      <c r="AF5" s="2"/>
    </row>
    <row r="6" spans="1:34" ht="10.5" customHeight="1">
      <c r="A6" s="117"/>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2"/>
    </row>
    <row r="7" spans="1:34" ht="10.5" customHeight="1">
      <c r="A7" s="117"/>
      <c r="B7" s="117"/>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2"/>
    </row>
    <row r="8" spans="1:34" ht="10.5" customHeight="1">
      <c r="A8" s="117"/>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2"/>
    </row>
    <row r="9" spans="1:34" ht="10.5" customHeight="1">
      <c r="A9" s="117"/>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2"/>
    </row>
    <row r="10" spans="1:34">
      <c r="A10" s="2"/>
      <c r="B10" s="2"/>
      <c r="C10" s="2"/>
      <c r="D10" s="2"/>
      <c r="E10" s="433" t="s">
        <v>226</v>
      </c>
      <c r="F10" s="434"/>
      <c r="G10" s="434"/>
      <c r="H10" s="434"/>
      <c r="I10" s="434"/>
      <c r="J10" s="434"/>
      <c r="K10" s="434"/>
      <c r="L10" s="434"/>
      <c r="M10" s="434"/>
      <c r="N10" s="434"/>
      <c r="O10" s="434"/>
      <c r="P10" s="434"/>
      <c r="Q10" s="434"/>
      <c r="R10" s="434"/>
      <c r="S10" s="434"/>
      <c r="T10" s="434"/>
      <c r="U10" s="434"/>
      <c r="V10" s="434"/>
      <c r="W10" s="434"/>
      <c r="X10" s="434"/>
      <c r="Y10" s="434"/>
      <c r="Z10" s="434"/>
      <c r="AA10" s="434"/>
      <c r="AB10" s="434"/>
      <c r="AC10" s="434"/>
      <c r="AD10" s="2"/>
      <c r="AE10" s="2"/>
      <c r="AF10" s="2"/>
    </row>
    <row r="11" spans="1:34">
      <c r="A11" s="2"/>
      <c r="B11" s="2"/>
      <c r="C11" s="2"/>
      <c r="D11" s="2"/>
      <c r="E11" s="433"/>
      <c r="F11" s="434"/>
      <c r="G11" s="434"/>
      <c r="H11" s="434"/>
      <c r="I11" s="434"/>
      <c r="J11" s="434"/>
      <c r="K11" s="434"/>
      <c r="L11" s="434"/>
      <c r="M11" s="434"/>
      <c r="N11" s="434"/>
      <c r="O11" s="434"/>
      <c r="P11" s="434"/>
      <c r="Q11" s="434"/>
      <c r="R11" s="434"/>
      <c r="S11" s="434"/>
      <c r="T11" s="434"/>
      <c r="U11" s="434"/>
      <c r="V11" s="434"/>
      <c r="W11" s="434"/>
      <c r="X11" s="434"/>
      <c r="Y11" s="434"/>
      <c r="Z11" s="434"/>
      <c r="AA11" s="434"/>
      <c r="AB11" s="434"/>
      <c r="AC11" s="434"/>
      <c r="AD11" s="2"/>
      <c r="AE11" s="2"/>
      <c r="AF11" s="2"/>
    </row>
    <row r="12" spans="1:34">
      <c r="A12" s="2"/>
      <c r="B12" s="2"/>
      <c r="C12" s="2"/>
      <c r="D12" s="2"/>
      <c r="E12" s="433"/>
      <c r="F12" s="434"/>
      <c r="G12" s="434"/>
      <c r="H12" s="434"/>
      <c r="I12" s="434"/>
      <c r="J12" s="434"/>
      <c r="K12" s="434"/>
      <c r="L12" s="434"/>
      <c r="M12" s="434"/>
      <c r="N12" s="434"/>
      <c r="O12" s="434"/>
      <c r="P12" s="434"/>
      <c r="Q12" s="434"/>
      <c r="R12" s="434"/>
      <c r="S12" s="434"/>
      <c r="T12" s="434"/>
      <c r="U12" s="434"/>
      <c r="V12" s="434"/>
      <c r="W12" s="434"/>
      <c r="X12" s="434"/>
      <c r="Y12" s="434"/>
      <c r="Z12" s="434"/>
      <c r="AA12" s="434"/>
      <c r="AB12" s="434"/>
      <c r="AC12" s="434"/>
      <c r="AD12" s="2"/>
      <c r="AE12" s="2"/>
      <c r="AF12" s="2"/>
    </row>
    <row r="13" spans="1:34">
      <c r="A13" s="2"/>
      <c r="B13" s="2"/>
      <c r="C13" s="2"/>
      <c r="D13" s="2"/>
      <c r="E13" s="433"/>
      <c r="F13" s="434"/>
      <c r="G13" s="434"/>
      <c r="H13" s="434"/>
      <c r="I13" s="434"/>
      <c r="J13" s="434"/>
      <c r="K13" s="434"/>
      <c r="L13" s="434"/>
      <c r="M13" s="434"/>
      <c r="N13" s="434"/>
      <c r="O13" s="434"/>
      <c r="P13" s="434"/>
      <c r="Q13" s="434"/>
      <c r="R13" s="434"/>
      <c r="S13" s="434"/>
      <c r="T13" s="434"/>
      <c r="U13" s="434"/>
      <c r="V13" s="434"/>
      <c r="W13" s="434"/>
      <c r="X13" s="434"/>
      <c r="Y13" s="434"/>
      <c r="Z13" s="434"/>
      <c r="AA13" s="434"/>
      <c r="AB13" s="434"/>
      <c r="AC13" s="434"/>
      <c r="AD13" s="2"/>
      <c r="AE13" s="2"/>
      <c r="AF13" s="2"/>
    </row>
    <row r="14" spans="1:34">
      <c r="A14" s="2"/>
      <c r="B14" s="2"/>
      <c r="C14" s="2"/>
      <c r="D14" s="2"/>
      <c r="E14" s="434"/>
      <c r="F14" s="434"/>
      <c r="G14" s="434"/>
      <c r="H14" s="434"/>
      <c r="I14" s="434"/>
      <c r="J14" s="434"/>
      <c r="K14" s="434"/>
      <c r="L14" s="434"/>
      <c r="M14" s="434"/>
      <c r="N14" s="434"/>
      <c r="O14" s="434"/>
      <c r="P14" s="434"/>
      <c r="Q14" s="434"/>
      <c r="R14" s="434"/>
      <c r="S14" s="434"/>
      <c r="T14" s="434"/>
      <c r="U14" s="434"/>
      <c r="V14" s="434"/>
      <c r="W14" s="434"/>
      <c r="X14" s="434"/>
      <c r="Y14" s="434"/>
      <c r="Z14" s="434"/>
      <c r="AA14" s="434"/>
      <c r="AB14" s="434"/>
      <c r="AC14" s="434"/>
      <c r="AD14" s="2"/>
      <c r="AE14" s="2"/>
      <c r="AF14" s="2"/>
    </row>
    <row r="15" spans="1:34">
      <c r="A15" s="2"/>
      <c r="B15" s="2"/>
      <c r="C15" s="2"/>
      <c r="D15" s="2"/>
      <c r="E15" s="434"/>
      <c r="F15" s="434"/>
      <c r="G15" s="434"/>
      <c r="H15" s="434"/>
      <c r="I15" s="434"/>
      <c r="J15" s="434"/>
      <c r="K15" s="434"/>
      <c r="L15" s="434"/>
      <c r="M15" s="434"/>
      <c r="N15" s="434"/>
      <c r="O15" s="434"/>
      <c r="P15" s="434"/>
      <c r="Q15" s="434"/>
      <c r="R15" s="434"/>
      <c r="S15" s="434"/>
      <c r="T15" s="434"/>
      <c r="U15" s="434"/>
      <c r="V15" s="434"/>
      <c r="W15" s="434"/>
      <c r="X15" s="434"/>
      <c r="Y15" s="434"/>
      <c r="Z15" s="434"/>
      <c r="AA15" s="434"/>
      <c r="AB15" s="434"/>
      <c r="AC15" s="434"/>
      <c r="AD15" s="2"/>
      <c r="AE15" s="2"/>
      <c r="AF15" s="2"/>
    </row>
    <row r="16" spans="1:34">
      <c r="A16" s="2"/>
      <c r="B16" s="2"/>
      <c r="C16" s="2"/>
      <c r="D16" s="2"/>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2"/>
      <c r="AE16" s="2"/>
      <c r="AF16" s="2"/>
    </row>
    <row r="17" spans="1:32">
      <c r="A17" s="4"/>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row>
    <row r="18" spans="1:3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row>
    <row r="19" spans="1:32" ht="12.75" customHeight="1">
      <c r="A19" s="2"/>
      <c r="B19" s="130"/>
      <c r="C19" s="133"/>
      <c r="D19" s="133"/>
      <c r="E19" s="435" t="s">
        <v>227</v>
      </c>
      <c r="F19" s="435"/>
      <c r="G19" s="435"/>
      <c r="H19" s="435"/>
      <c r="I19" s="435"/>
      <c r="J19" s="435"/>
      <c r="K19" s="435"/>
      <c r="L19" s="435"/>
      <c r="M19" s="435"/>
      <c r="N19" s="435"/>
      <c r="O19" s="435"/>
      <c r="P19" s="435"/>
      <c r="Q19" s="435"/>
      <c r="R19" s="435"/>
      <c r="S19" s="435"/>
      <c r="T19" s="435"/>
      <c r="U19" s="435"/>
      <c r="V19" s="435"/>
      <c r="W19" s="435"/>
      <c r="X19" s="435"/>
      <c r="Y19" s="435"/>
      <c r="Z19" s="435"/>
      <c r="AA19" s="435"/>
      <c r="AB19" s="133"/>
      <c r="AC19" s="1"/>
      <c r="AD19" s="1"/>
      <c r="AE19" s="1"/>
      <c r="AF19" s="2"/>
    </row>
    <row r="20" spans="1:32" ht="12.75" customHeight="1">
      <c r="A20" s="2"/>
      <c r="B20" s="130"/>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1"/>
      <c r="AD20" s="1"/>
      <c r="AE20" s="1"/>
      <c r="AF20" s="2"/>
    </row>
    <row r="21" spans="1:32" ht="12.75" customHeight="1">
      <c r="A21" s="2"/>
      <c r="B21" s="130"/>
      <c r="C21" s="2"/>
      <c r="D21" s="130"/>
      <c r="E21" s="242" t="s">
        <v>228</v>
      </c>
      <c r="F21" s="242"/>
      <c r="G21" s="1"/>
      <c r="H21" s="1"/>
      <c r="I21" s="1"/>
      <c r="J21" s="1"/>
      <c r="K21" s="1"/>
      <c r="L21" s="376">
        <f>Coordonnées!D7</f>
        <v>0</v>
      </c>
      <c r="M21" s="376"/>
      <c r="N21" s="376"/>
      <c r="O21" s="376"/>
      <c r="P21" s="376"/>
      <c r="Q21" s="376">
        <f>Coordonnées!H7</f>
        <v>0</v>
      </c>
      <c r="R21" s="376"/>
      <c r="S21" s="376"/>
      <c r="T21" s="376"/>
      <c r="U21" s="376"/>
      <c r="V21" s="376"/>
      <c r="W21" s="376"/>
      <c r="X21" s="130"/>
      <c r="Y21" s="130"/>
      <c r="Z21" s="130"/>
      <c r="AA21" s="1"/>
      <c r="AB21" s="1"/>
      <c r="AC21" s="1"/>
      <c r="AD21" s="1"/>
      <c r="AE21" s="1"/>
      <c r="AF21" s="2"/>
    </row>
    <row r="22" spans="1:32" ht="12.75" customHeight="1">
      <c r="A22" s="2"/>
      <c r="B22" s="130"/>
      <c r="C22" s="2"/>
      <c r="D22" s="130"/>
      <c r="E22" s="242"/>
      <c r="F22" s="242"/>
      <c r="G22" s="1"/>
      <c r="H22" s="1"/>
      <c r="I22" s="1"/>
      <c r="J22" s="1"/>
      <c r="K22" s="1"/>
      <c r="L22" s="229"/>
      <c r="M22" s="229"/>
      <c r="N22" s="229"/>
      <c r="O22" s="229"/>
      <c r="P22" s="229"/>
      <c r="Q22" s="229"/>
      <c r="R22" s="229"/>
      <c r="S22" s="229"/>
      <c r="T22" s="229"/>
      <c r="U22" s="130"/>
      <c r="V22" s="130"/>
      <c r="W22" s="130"/>
      <c r="X22" s="130"/>
      <c r="Y22" s="130"/>
      <c r="Z22" s="130"/>
      <c r="AA22" s="1"/>
      <c r="AB22" s="1"/>
      <c r="AC22" s="1"/>
      <c r="AD22" s="1"/>
      <c r="AE22" s="1"/>
      <c r="AF22" s="2"/>
    </row>
    <row r="23" spans="1:32">
      <c r="A23" s="2"/>
      <c r="B23" s="130"/>
      <c r="C23" s="78"/>
      <c r="D23" s="78"/>
      <c r="E23" s="2" t="str">
        <f ca="1">IF(Coordonnées!D24="Ne pas remplir","","Enfant de")</f>
        <v/>
      </c>
      <c r="F23" s="2"/>
      <c r="G23" s="2"/>
      <c r="H23" s="436" t="str">
        <f ca="1">IF(Coordonnées!D24="Ne pas remplir","",Coordonnées!D24)</f>
        <v/>
      </c>
      <c r="I23" s="436"/>
      <c r="J23" s="436"/>
      <c r="K23" s="436"/>
      <c r="L23" s="437" t="str">
        <f ca="1">IF(Coordonnées!H24="Ne pas remplir","",Coordonnées!H24)</f>
        <v/>
      </c>
      <c r="M23" s="437"/>
      <c r="N23" s="437"/>
      <c r="O23" s="437"/>
      <c r="P23" s="33"/>
      <c r="Q23" s="33"/>
      <c r="R23" s="33"/>
      <c r="S23" s="33"/>
      <c r="T23" s="130"/>
      <c r="U23" s="130"/>
      <c r="V23" s="130"/>
      <c r="W23" s="130"/>
      <c r="X23" s="121"/>
      <c r="Y23" s="121"/>
      <c r="Z23" s="120"/>
      <c r="AA23" s="382"/>
      <c r="AB23" s="382"/>
      <c r="AC23" s="382"/>
      <c r="AD23" s="382"/>
      <c r="AE23" s="234"/>
      <c r="AF23" s="2"/>
    </row>
    <row r="24" spans="1:32" ht="12.75" customHeight="1">
      <c r="A24" s="2"/>
      <c r="B24" s="1"/>
      <c r="C24" s="119"/>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16"/>
      <c r="AE24" s="116"/>
      <c r="AF24" s="2"/>
    </row>
    <row r="25" spans="1:32" ht="12.75" customHeight="1">
      <c r="A25" s="2"/>
      <c r="B25" s="1"/>
      <c r="C25" s="235"/>
      <c r="D25" s="235"/>
      <c r="E25" s="235" t="s">
        <v>229</v>
      </c>
      <c r="F25" s="228"/>
      <c r="G25" s="122"/>
      <c r="H25" s="122"/>
      <c r="I25" s="122"/>
      <c r="J25" s="122"/>
      <c r="K25" s="235"/>
      <c r="L25" s="122"/>
      <c r="M25" s="122"/>
      <c r="N25" s="122"/>
      <c r="O25" s="122"/>
      <c r="P25" s="122"/>
      <c r="Q25" s="122"/>
      <c r="R25" s="122"/>
      <c r="S25" s="122"/>
      <c r="T25" s="122"/>
      <c r="U25" s="122"/>
      <c r="V25" s="122"/>
      <c r="W25" s="122"/>
      <c r="X25" s="122"/>
      <c r="Y25" s="122"/>
      <c r="Z25" s="122"/>
      <c r="AA25" s="122"/>
      <c r="AB25" s="122"/>
      <c r="AC25" s="122"/>
      <c r="AD25" s="1"/>
      <c r="AE25" s="1"/>
      <c r="AF25" s="2"/>
    </row>
    <row r="26" spans="1:32" ht="12.75" customHeight="1">
      <c r="A26" s="2"/>
      <c r="B26" s="1"/>
      <c r="C26" s="235"/>
      <c r="D26" s="235"/>
      <c r="E26" s="235"/>
      <c r="F26" s="228"/>
      <c r="G26" s="122"/>
      <c r="H26" s="122"/>
      <c r="I26" s="122"/>
      <c r="J26" s="122"/>
      <c r="K26" s="235"/>
      <c r="L26" s="122"/>
      <c r="M26" s="122"/>
      <c r="N26" s="122"/>
      <c r="O26" s="122"/>
      <c r="P26" s="122"/>
      <c r="Q26" s="122"/>
      <c r="R26" s="122"/>
      <c r="S26" s="122"/>
      <c r="T26" s="122"/>
      <c r="U26" s="122"/>
      <c r="V26" s="122"/>
      <c r="W26" s="122"/>
      <c r="X26" s="122"/>
      <c r="Y26" s="122"/>
      <c r="Z26" s="122"/>
      <c r="AA26" s="122"/>
      <c r="AB26" s="122"/>
      <c r="AC26" s="122"/>
      <c r="AD26" s="1"/>
      <c r="AE26" s="1"/>
      <c r="AF26" s="2"/>
    </row>
    <row r="27" spans="1:32" ht="12.75" customHeight="1">
      <c r="A27" s="2"/>
      <c r="B27" s="1"/>
      <c r="C27" s="244"/>
      <c r="D27" s="244"/>
      <c r="E27" s="135"/>
      <c r="F27" s="135"/>
      <c r="G27" s="135"/>
      <c r="H27" s="135"/>
      <c r="I27" s="135"/>
      <c r="J27" s="135"/>
      <c r="K27" s="135"/>
      <c r="L27" s="135"/>
      <c r="M27" s="135"/>
      <c r="N27" s="135"/>
      <c r="O27" s="135"/>
      <c r="P27" s="135"/>
      <c r="Q27" s="135"/>
      <c r="R27" s="135"/>
      <c r="S27" s="135"/>
      <c r="T27" s="136"/>
      <c r="U27" s="135"/>
      <c r="V27" s="119"/>
      <c r="W27" s="123"/>
      <c r="X27" s="246"/>
      <c r="Y27" s="246"/>
      <c r="Z27" s="246"/>
      <c r="AA27" s="246"/>
      <c r="AB27" s="246"/>
      <c r="AC27" s="246"/>
      <c r="AD27" s="116"/>
      <c r="AE27" s="116"/>
      <c r="AF27" s="2"/>
    </row>
    <row r="28" spans="1:32" ht="9.75" customHeight="1">
      <c r="A28" s="2"/>
      <c r="B28" s="1"/>
      <c r="C28" s="244"/>
      <c r="D28" s="244"/>
      <c r="E28" s="385" t="s">
        <v>230</v>
      </c>
      <c r="F28" s="385"/>
      <c r="G28" s="385"/>
      <c r="H28" s="385"/>
      <c r="I28" s="385"/>
      <c r="J28" s="385"/>
      <c r="K28" s="385"/>
      <c r="L28" s="385"/>
      <c r="M28" s="385"/>
      <c r="N28" s="385"/>
      <c r="O28" s="385"/>
      <c r="P28" s="438" t="str">
        <f>Sommaire!N2</f>
        <v>2024/2025</v>
      </c>
      <c r="Q28" s="438"/>
      <c r="R28" s="438"/>
      <c r="S28" s="438"/>
      <c r="T28" s="122" t="s">
        <v>231</v>
      </c>
      <c r="U28" s="441">
        <f>Cotisation!I14</f>
        <v>0</v>
      </c>
      <c r="V28" s="441"/>
      <c r="W28" s="441"/>
      <c r="X28" s="244" t="s">
        <v>232</v>
      </c>
      <c r="Y28" s="244"/>
      <c r="Z28" s="244"/>
      <c r="AA28" s="165"/>
      <c r="AB28" s="165"/>
      <c r="AC28" s="165"/>
      <c r="AD28" s="1"/>
      <c r="AE28" s="116"/>
      <c r="AF28" s="2"/>
    </row>
    <row r="29" spans="1:32">
      <c r="A29" s="2"/>
      <c r="B29" s="1"/>
      <c r="C29" s="1"/>
      <c r="D29" s="1"/>
      <c r="E29" s="33"/>
      <c r="F29" s="33"/>
      <c r="G29" s="33"/>
      <c r="H29" s="33"/>
      <c r="I29" s="33"/>
      <c r="J29" s="33"/>
      <c r="K29" s="33"/>
      <c r="L29" s="1"/>
      <c r="M29" s="1"/>
      <c r="N29" s="1"/>
      <c r="O29" s="33"/>
      <c r="P29" s="33"/>
      <c r="Q29" s="33"/>
      <c r="R29" s="33"/>
      <c r="S29" s="33"/>
      <c r="T29" s="33"/>
      <c r="U29" s="33"/>
      <c r="V29" s="33"/>
      <c r="W29" s="33"/>
      <c r="X29" s="1"/>
      <c r="Y29" s="1"/>
      <c r="Z29" s="1"/>
      <c r="AA29" s="1"/>
      <c r="AB29" s="1"/>
      <c r="AC29" s="1"/>
      <c r="AD29" s="1"/>
      <c r="AE29" s="1"/>
      <c r="AF29" s="2"/>
    </row>
    <row r="30" spans="1:32">
      <c r="A30" s="2"/>
      <c r="B30" s="1"/>
      <c r="C30" s="1"/>
      <c r="D30" s="1"/>
      <c r="E30" s="33"/>
      <c r="F30" s="33"/>
      <c r="G30" s="33"/>
      <c r="H30" s="33"/>
      <c r="I30" s="33"/>
      <c r="J30" s="33"/>
      <c r="K30" s="33"/>
      <c r="L30" s="1"/>
      <c r="M30" s="1"/>
      <c r="N30" s="1"/>
      <c r="O30" s="33"/>
      <c r="P30" s="33"/>
      <c r="Q30" s="33"/>
      <c r="R30" s="33"/>
      <c r="S30" s="33"/>
      <c r="T30" s="33"/>
      <c r="U30" s="33"/>
      <c r="V30" s="33"/>
      <c r="W30" s="33"/>
      <c r="X30" s="1"/>
      <c r="Y30" s="1"/>
      <c r="Z30" s="1"/>
      <c r="AA30" s="1"/>
      <c r="AB30" s="1"/>
      <c r="AC30" s="1"/>
      <c r="AD30" s="1"/>
      <c r="AE30" s="1"/>
      <c r="AF30" s="2"/>
    </row>
    <row r="31" spans="1:32">
      <c r="A31" s="2"/>
      <c r="B31" s="1"/>
      <c r="C31" s="1"/>
      <c r="D31" s="1"/>
      <c r="E31" s="33"/>
      <c r="F31" s="33"/>
      <c r="G31" s="33"/>
      <c r="H31" s="33"/>
      <c r="I31" s="33"/>
      <c r="J31" s="33"/>
      <c r="K31" s="33"/>
      <c r="L31" s="1"/>
      <c r="M31" s="1"/>
      <c r="N31" s="1"/>
      <c r="O31" s="33"/>
      <c r="P31" s="33"/>
      <c r="Q31" s="33"/>
      <c r="R31" s="33"/>
      <c r="S31" s="33"/>
      <c r="T31" s="33"/>
      <c r="U31" s="33"/>
      <c r="V31" s="33"/>
      <c r="W31" s="33"/>
      <c r="X31" s="1"/>
      <c r="Y31" s="1"/>
      <c r="Z31" s="1"/>
      <c r="AA31" s="1"/>
      <c r="AB31" s="1"/>
      <c r="AC31" s="1"/>
      <c r="AD31" s="1"/>
      <c r="AE31" s="1"/>
      <c r="AF31" s="2"/>
    </row>
    <row r="32" spans="1:32">
      <c r="A32" s="2"/>
      <c r="B32" s="1"/>
      <c r="C32" s="1"/>
      <c r="D32" s="1"/>
      <c r="E32" s="33"/>
      <c r="F32" s="33"/>
      <c r="G32" s="33"/>
      <c r="H32" s="33"/>
      <c r="I32" s="33"/>
      <c r="J32" s="33"/>
      <c r="K32" s="33"/>
      <c r="L32" s="1"/>
      <c r="M32" s="1"/>
      <c r="N32" s="1"/>
      <c r="O32" s="33"/>
      <c r="P32" s="33"/>
      <c r="Q32" s="33"/>
      <c r="R32" s="33"/>
      <c r="S32" s="33"/>
      <c r="T32" s="33"/>
      <c r="U32" s="33"/>
      <c r="V32" s="33"/>
      <c r="W32" s="33"/>
      <c r="X32" s="1"/>
      <c r="Y32" s="1"/>
      <c r="Z32" s="1"/>
      <c r="AA32" s="1"/>
      <c r="AB32" s="1"/>
      <c r="AC32" s="1"/>
      <c r="AD32" s="1"/>
      <c r="AE32" s="1"/>
      <c r="AF32" s="2"/>
    </row>
    <row r="33" spans="1:32">
      <c r="A33" s="2"/>
      <c r="B33" s="1"/>
      <c r="C33" s="1"/>
      <c r="D33" s="1"/>
      <c r="E33" s="33"/>
      <c r="F33" s="33"/>
      <c r="G33" s="33"/>
      <c r="H33" s="33"/>
      <c r="I33" s="33"/>
      <c r="J33" s="33"/>
      <c r="K33" s="33"/>
      <c r="L33" s="1"/>
      <c r="M33" s="1"/>
      <c r="N33" s="1"/>
      <c r="O33" s="33"/>
      <c r="P33" s="33"/>
      <c r="Q33" s="33"/>
      <c r="R33" s="33"/>
      <c r="S33" s="33"/>
      <c r="T33" s="33"/>
      <c r="U33" s="33"/>
      <c r="V33" s="33"/>
      <c r="W33" s="33"/>
      <c r="X33" s="1"/>
      <c r="Y33" s="1"/>
      <c r="Z33" s="1"/>
      <c r="AA33" s="1"/>
      <c r="AB33" s="1"/>
      <c r="AC33" s="1"/>
      <c r="AD33" s="1"/>
      <c r="AE33" s="1"/>
      <c r="AF33" s="2"/>
    </row>
    <row r="34" spans="1:32">
      <c r="A34" s="2"/>
      <c r="B34" s="130"/>
      <c r="C34" s="130"/>
      <c r="D34" s="130"/>
      <c r="E34" s="130"/>
      <c r="F34" s="1"/>
      <c r="G34" s="33"/>
      <c r="H34" s="33"/>
      <c r="I34" s="33"/>
      <c r="J34" s="33"/>
      <c r="K34" s="33"/>
      <c r="L34" s="33"/>
      <c r="M34" s="1"/>
      <c r="N34" s="1"/>
      <c r="O34" s="1"/>
      <c r="P34" s="1"/>
      <c r="Q34" s="1"/>
      <c r="R34" s="1"/>
      <c r="S34" s="33"/>
      <c r="T34" s="33"/>
      <c r="U34" s="33"/>
      <c r="V34" s="33"/>
      <c r="W34" s="33"/>
      <c r="X34" s="33"/>
      <c r="Y34" s="1"/>
      <c r="Z34" s="1"/>
      <c r="AA34" s="1"/>
      <c r="AB34" s="1"/>
      <c r="AC34" s="1"/>
      <c r="AD34" s="1"/>
      <c r="AE34" s="1"/>
      <c r="AF34" s="2"/>
    </row>
    <row r="35" spans="1:32">
      <c r="A35" s="2"/>
      <c r="B35" s="130"/>
      <c r="C35" s="78"/>
      <c r="D35" s="78"/>
      <c r="E35" s="230"/>
      <c r="F35" s="247" t="s">
        <v>233</v>
      </c>
      <c r="G35" s="439">
        <f ca="1">TODAY()</f>
        <v>45483</v>
      </c>
      <c r="H35" s="439"/>
      <c r="I35" s="439"/>
      <c r="J35" s="439"/>
      <c r="K35" s="439"/>
      <c r="L35" s="119"/>
      <c r="M35" s="130"/>
      <c r="N35" s="130"/>
      <c r="O35" s="230"/>
      <c r="P35" s="230"/>
      <c r="Q35" s="230"/>
      <c r="R35" s="230"/>
      <c r="S35" s="230"/>
      <c r="T35" s="230"/>
      <c r="U35" s="230"/>
      <c r="V35" s="230"/>
      <c r="W35" s="230"/>
      <c r="X35" s="121"/>
      <c r="Y35" s="121"/>
      <c r="Z35" s="231"/>
      <c r="AA35" s="231"/>
      <c r="AB35" s="231"/>
      <c r="AC35" s="231"/>
      <c r="AD35" s="231"/>
      <c r="AE35" s="234"/>
      <c r="AF35" s="2"/>
    </row>
    <row r="36" spans="1:32" ht="18" customHeight="1">
      <c r="A36" s="2"/>
      <c r="B36" s="33"/>
      <c r="C36" s="235"/>
      <c r="D36" s="122"/>
      <c r="E36" s="122"/>
      <c r="F36" s="122"/>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116"/>
      <c r="AF36" s="2"/>
    </row>
    <row r="37" spans="1:32">
      <c r="A37" s="2"/>
      <c r="B37" s="1"/>
      <c r="C37" s="235"/>
      <c r="D37" s="235"/>
      <c r="E37" s="235"/>
      <c r="F37" s="235"/>
      <c r="G37" s="122"/>
      <c r="H37" s="122"/>
      <c r="I37" s="122"/>
      <c r="J37" s="122"/>
      <c r="K37" s="33"/>
      <c r="L37" s="235"/>
      <c r="M37" s="33"/>
      <c r="N37" s="122"/>
      <c r="O37" s="122"/>
      <c r="P37" s="122"/>
      <c r="Q37" s="122"/>
      <c r="R37" s="122"/>
      <c r="S37" s="122"/>
      <c r="T37" s="122"/>
      <c r="U37" s="122"/>
      <c r="V37" s="122"/>
      <c r="W37" s="122"/>
      <c r="X37" s="122"/>
      <c r="Y37" s="122"/>
      <c r="Z37" s="122"/>
      <c r="AA37" s="122"/>
      <c r="AB37" s="122"/>
      <c r="AC37" s="122"/>
      <c r="AD37" s="122"/>
      <c r="AE37" s="1"/>
      <c r="AF37" s="2"/>
    </row>
    <row r="38" spans="1:32">
      <c r="A38" s="2"/>
      <c r="B38" s="1"/>
      <c r="C38" s="244"/>
      <c r="D38" s="244"/>
      <c r="E38" s="240"/>
      <c r="F38" s="240"/>
      <c r="G38" s="240"/>
      <c r="H38" s="440" t="s">
        <v>234</v>
      </c>
      <c r="I38" s="440"/>
      <c r="J38" s="440"/>
      <c r="K38" s="440"/>
      <c r="L38" s="440"/>
      <c r="M38" s="240"/>
      <c r="N38" s="240"/>
      <c r="O38" s="240"/>
      <c r="P38" s="240"/>
      <c r="Q38" s="440" t="s">
        <v>236</v>
      </c>
      <c r="R38" s="440"/>
      <c r="S38" s="440"/>
      <c r="T38" s="440"/>
      <c r="U38" s="440"/>
      <c r="V38" s="440"/>
      <c r="W38" s="123"/>
      <c r="X38" s="246"/>
      <c r="Y38" s="246"/>
      <c r="Z38" s="246"/>
      <c r="AA38" s="246"/>
      <c r="AB38" s="246"/>
      <c r="AC38" s="246"/>
      <c r="AD38" s="78"/>
      <c r="AE38" s="116"/>
      <c r="AF38" s="2"/>
    </row>
    <row r="39" spans="1:32">
      <c r="A39" s="2"/>
      <c r="B39" s="1"/>
      <c r="C39" s="33"/>
      <c r="D39" s="33"/>
      <c r="E39" s="33"/>
      <c r="F39" s="33"/>
      <c r="G39" s="33"/>
      <c r="H39" s="33" t="s">
        <v>235</v>
      </c>
      <c r="I39" s="33"/>
      <c r="J39" s="33"/>
      <c r="K39" s="33"/>
      <c r="L39" s="33"/>
      <c r="M39" s="33"/>
      <c r="N39" s="33"/>
      <c r="O39" s="33"/>
      <c r="P39" s="33"/>
      <c r="Q39" s="33" t="s">
        <v>289</v>
      </c>
      <c r="R39" s="33"/>
      <c r="S39" s="33"/>
      <c r="T39" s="33"/>
      <c r="U39" s="33"/>
      <c r="V39" s="33"/>
      <c r="W39" s="33"/>
      <c r="X39" s="33"/>
      <c r="Y39" s="33"/>
      <c r="Z39" s="33"/>
      <c r="AA39" s="33"/>
      <c r="AB39" s="33"/>
      <c r="AC39" s="33"/>
      <c r="AD39" s="33"/>
      <c r="AE39" s="1"/>
      <c r="AF39" s="2"/>
    </row>
    <row r="40" spans="1:32">
      <c r="A40" s="2"/>
      <c r="B40" s="233"/>
      <c r="C40" s="233"/>
      <c r="D40" s="233"/>
      <c r="E40" s="233"/>
      <c r="F40" s="1"/>
      <c r="G40" s="1"/>
      <c r="H40" s="1"/>
      <c r="I40" s="1"/>
      <c r="J40" s="1"/>
      <c r="K40" s="1"/>
      <c r="L40" s="1"/>
      <c r="M40" s="1"/>
      <c r="N40" s="1"/>
      <c r="O40" s="1"/>
      <c r="P40" s="1"/>
      <c r="Q40" s="1"/>
      <c r="R40" s="1"/>
      <c r="S40" s="1"/>
      <c r="T40" s="1"/>
      <c r="U40" s="1"/>
      <c r="V40" s="1"/>
      <c r="W40" s="1"/>
      <c r="X40" s="1"/>
      <c r="Y40" s="1"/>
      <c r="Z40" s="1"/>
      <c r="AA40" s="1"/>
      <c r="AB40" s="1"/>
      <c r="AC40" s="1"/>
      <c r="AD40" s="1"/>
      <c r="AE40" s="1"/>
      <c r="AF40" s="2"/>
    </row>
    <row r="41" spans="1:32" ht="12.75" customHeight="1">
      <c r="A41" s="2"/>
      <c r="B41" s="1"/>
      <c r="C41" s="78"/>
      <c r="D41" s="78"/>
      <c r="E41" s="230"/>
      <c r="F41" s="230"/>
      <c r="G41" s="230"/>
      <c r="H41" s="230"/>
      <c r="I41" s="230"/>
      <c r="J41" s="230"/>
      <c r="K41" s="230"/>
      <c r="L41" s="119"/>
      <c r="M41" s="78"/>
      <c r="N41" s="78"/>
      <c r="O41" s="230"/>
      <c r="P41" s="230"/>
      <c r="Q41" s="230"/>
      <c r="R41" s="230"/>
      <c r="S41" s="230"/>
      <c r="T41" s="230"/>
      <c r="U41" s="230"/>
      <c r="V41" s="230"/>
      <c r="W41" s="230"/>
      <c r="X41" s="1"/>
      <c r="Y41" s="1"/>
      <c r="Z41" s="1"/>
      <c r="AA41" s="1"/>
      <c r="AB41" s="1"/>
      <c r="AC41" s="1"/>
      <c r="AD41" s="1"/>
      <c r="AE41" s="234"/>
      <c r="AF41" s="2"/>
    </row>
    <row r="42" spans="1:32">
      <c r="A42" s="2"/>
      <c r="B42" s="1"/>
      <c r="C42" s="235"/>
      <c r="D42" s="235"/>
      <c r="E42" s="235"/>
      <c r="F42" s="235"/>
      <c r="G42" s="236"/>
      <c r="H42" s="236"/>
      <c r="I42" s="236"/>
      <c r="J42" s="236"/>
      <c r="K42" s="236"/>
      <c r="L42" s="236"/>
      <c r="M42" s="235"/>
      <c r="N42" s="235"/>
      <c r="O42" s="236"/>
      <c r="P42" s="236"/>
      <c r="Q42" s="236"/>
      <c r="R42" s="236"/>
      <c r="S42" s="236"/>
      <c r="T42" s="236"/>
      <c r="U42" s="236"/>
      <c r="V42" s="236"/>
      <c r="W42" s="236"/>
      <c r="X42" s="236"/>
      <c r="Y42" s="33"/>
      <c r="Z42" s="33"/>
      <c r="AA42" s="33"/>
      <c r="AB42" s="33"/>
      <c r="AC42" s="33"/>
      <c r="AD42" s="33"/>
      <c r="AE42" s="116"/>
      <c r="AF42" s="2"/>
    </row>
    <row r="43" spans="1:32">
      <c r="A43" s="2"/>
      <c r="B43" s="1"/>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1"/>
      <c r="AF43" s="2"/>
    </row>
    <row r="44" spans="1:32">
      <c r="A44" s="2"/>
      <c r="B44" s="1"/>
      <c r="C44" s="237"/>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1"/>
      <c r="AF44" s="2"/>
    </row>
    <row r="45" spans="1:32" ht="12.75" customHeight="1">
      <c r="A45" s="2"/>
      <c r="B45" s="1"/>
      <c r="C45" s="77"/>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2"/>
    </row>
    <row r="46" spans="1:32" ht="12.75" customHeight="1">
      <c r="A46" s="2"/>
      <c r="B46" s="1"/>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
      <c r="AA46" s="1"/>
      <c r="AB46" s="1"/>
      <c r="AC46" s="1"/>
      <c r="AD46" s="1"/>
      <c r="AE46" s="1"/>
      <c r="AF46" s="2"/>
    </row>
    <row r="47" spans="1:32" ht="9" customHeight="1">
      <c r="A47" s="2"/>
      <c r="B47" s="156"/>
      <c r="C47" s="238"/>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156"/>
      <c r="AF47" s="2"/>
    </row>
    <row r="48" spans="1:32" ht="3.75" customHeight="1">
      <c r="A48" s="2"/>
      <c r="B48" s="1"/>
      <c r="C48" s="1"/>
      <c r="D48" s="1"/>
      <c r="E48" s="1"/>
      <c r="F48" s="1"/>
      <c r="G48" s="1"/>
      <c r="H48" s="33"/>
      <c r="I48" s="33"/>
      <c r="J48" s="33"/>
      <c r="K48" s="33"/>
      <c r="L48" s="33"/>
      <c r="M48" s="33"/>
      <c r="N48" s="33"/>
      <c r="O48" s="33"/>
      <c r="P48" s="33"/>
      <c r="Q48" s="33"/>
      <c r="R48" s="33"/>
      <c r="S48" s="33"/>
      <c r="T48" s="33"/>
      <c r="U48" s="33"/>
      <c r="V48" s="33"/>
      <c r="W48" s="33"/>
      <c r="X48" s="33"/>
      <c r="Y48" s="33"/>
      <c r="Z48" s="33"/>
      <c r="AA48" s="33"/>
      <c r="AB48" s="33"/>
      <c r="AC48" s="33"/>
      <c r="AD48" s="33"/>
      <c r="AE48" s="1"/>
      <c r="AF48" s="2"/>
    </row>
    <row r="49" spans="1:32" ht="12.75" customHeight="1">
      <c r="A49" s="2"/>
      <c r="B49" s="233"/>
      <c r="C49" s="233"/>
      <c r="D49" s="233"/>
      <c r="E49" s="233"/>
      <c r="F49" s="233"/>
      <c r="G49" s="233"/>
      <c r="H49" s="233"/>
      <c r="I49" s="233"/>
      <c r="J49" s="1"/>
      <c r="K49" s="33"/>
      <c r="L49" s="33"/>
      <c r="M49" s="33"/>
      <c r="N49" s="33"/>
      <c r="O49" s="1"/>
      <c r="P49" s="1"/>
      <c r="Q49" s="1"/>
      <c r="R49" s="1"/>
      <c r="S49" s="1"/>
      <c r="T49" s="1"/>
      <c r="U49" s="239"/>
      <c r="V49" s="239"/>
      <c r="W49" s="239"/>
      <c r="X49" s="239"/>
      <c r="Y49" s="245"/>
      <c r="Z49" s="245"/>
      <c r="AA49" s="245"/>
      <c r="AB49" s="245"/>
      <c r="AC49" s="245"/>
      <c r="AD49" s="245"/>
      <c r="AE49" s="245"/>
      <c r="AF49" s="2"/>
    </row>
    <row r="50" spans="1:32">
      <c r="A50" s="2"/>
      <c r="B50" s="1"/>
      <c r="C50" s="101"/>
      <c r="D50" s="1"/>
      <c r="E50" s="1"/>
      <c r="F50" s="1"/>
      <c r="G50" s="1"/>
      <c r="H50" s="1"/>
      <c r="I50" s="1"/>
      <c r="J50" s="1"/>
      <c r="K50" s="1"/>
      <c r="L50" s="77"/>
      <c r="M50" s="77"/>
      <c r="N50" s="1"/>
      <c r="O50" s="1"/>
      <c r="P50" s="1"/>
      <c r="Q50" s="1"/>
      <c r="R50" s="1"/>
      <c r="S50" s="1"/>
      <c r="T50" s="1"/>
      <c r="U50" s="239"/>
      <c r="V50" s="239"/>
      <c r="W50" s="239"/>
      <c r="X50" s="239"/>
      <c r="Y50" s="33"/>
      <c r="Z50" s="33"/>
      <c r="AA50" s="33"/>
      <c r="AB50" s="33"/>
      <c r="AC50" s="33"/>
      <c r="AD50" s="33"/>
      <c r="AE50" s="33"/>
      <c r="AF50" s="2"/>
    </row>
    <row r="51" spans="1:32">
      <c r="A51" s="2"/>
      <c r="B51" s="1"/>
      <c r="C51" s="101"/>
      <c r="D51" s="1"/>
      <c r="E51" s="1"/>
      <c r="F51" s="1"/>
      <c r="G51" s="1"/>
      <c r="H51" s="1"/>
      <c r="I51" s="33"/>
      <c r="J51" s="33"/>
      <c r="K51" s="33"/>
      <c r="L51" s="233"/>
      <c r="M51" s="233"/>
      <c r="N51" s="33"/>
      <c r="O51" s="33"/>
      <c r="P51" s="33"/>
      <c r="Q51" s="33"/>
      <c r="R51" s="33"/>
      <c r="S51" s="1"/>
      <c r="T51" s="1"/>
      <c r="U51" s="239"/>
      <c r="V51" s="239"/>
      <c r="W51" s="239"/>
      <c r="X51" s="239"/>
      <c r="Y51" s="1"/>
      <c r="Z51" s="1"/>
      <c r="AA51" s="1"/>
      <c r="AB51" s="1"/>
      <c r="AC51" s="1"/>
      <c r="AD51" s="1"/>
      <c r="AE51" s="104"/>
      <c r="AF51" s="2"/>
    </row>
    <row r="52" spans="1:32" ht="3.95" customHeight="1">
      <c r="A52" s="2"/>
      <c r="B52" s="1"/>
      <c r="C52" s="101"/>
      <c r="D52" s="1"/>
      <c r="E52" s="1"/>
      <c r="F52" s="1"/>
      <c r="G52" s="1"/>
      <c r="H52" s="33"/>
      <c r="I52" s="33"/>
      <c r="J52" s="33"/>
      <c r="K52" s="33"/>
      <c r="L52" s="233"/>
      <c r="M52" s="233"/>
      <c r="N52" s="33"/>
      <c r="O52" s="33"/>
      <c r="P52" s="33"/>
      <c r="Q52" s="33"/>
      <c r="R52" s="33"/>
      <c r="S52" s="33"/>
      <c r="T52" s="33"/>
      <c r="U52" s="239"/>
      <c r="V52" s="239"/>
      <c r="W52" s="239"/>
      <c r="X52" s="239"/>
      <c r="Y52" s="33"/>
      <c r="Z52" s="33"/>
      <c r="AA52" s="33"/>
      <c r="AB52" s="33"/>
      <c r="AC52" s="33"/>
      <c r="AD52" s="33"/>
      <c r="AE52" s="104"/>
      <c r="AF52" s="2"/>
    </row>
    <row r="53" spans="1:32" ht="3.75" customHeight="1">
      <c r="A53" s="2"/>
      <c r="B53" s="1"/>
      <c r="C53" s="154"/>
      <c r="D53" s="78"/>
      <c r="E53" s="78"/>
      <c r="F53" s="78"/>
      <c r="G53" s="78"/>
      <c r="H53" s="78"/>
      <c r="I53" s="78"/>
      <c r="J53" s="78"/>
      <c r="K53" s="78"/>
      <c r="L53" s="130"/>
      <c r="M53" s="130"/>
      <c r="N53" s="78"/>
      <c r="O53" s="78"/>
      <c r="P53" s="78"/>
      <c r="Q53" s="78"/>
      <c r="R53" s="78"/>
      <c r="S53" s="78"/>
      <c r="T53" s="78"/>
      <c r="U53" s="153"/>
      <c r="V53" s="153"/>
      <c r="W53" s="153"/>
      <c r="X53" s="78"/>
      <c r="Y53" s="78"/>
      <c r="Z53" s="78"/>
      <c r="AA53" s="78"/>
      <c r="AB53" s="78"/>
      <c r="AC53" s="78"/>
      <c r="AD53" s="78"/>
      <c r="AE53" s="104"/>
      <c r="AF53" s="2"/>
    </row>
    <row r="54" spans="1:32" ht="12.75" customHeight="1">
      <c r="A54" s="2"/>
      <c r="B54" s="1"/>
      <c r="C54" s="130"/>
      <c r="D54" s="78"/>
      <c r="E54" s="78" t="s">
        <v>245</v>
      </c>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104"/>
      <c r="AF54" s="2"/>
    </row>
    <row r="55" spans="1:32" ht="12.75" customHeight="1">
      <c r="A55" s="2"/>
      <c r="B55" s="1"/>
      <c r="C55" s="243"/>
      <c r="D55" s="33"/>
      <c r="E55" s="33" t="s">
        <v>237</v>
      </c>
      <c r="F55" s="33"/>
      <c r="G55" s="33"/>
      <c r="H55" s="33"/>
      <c r="I55" s="33"/>
      <c r="J55" s="33"/>
      <c r="K55" s="33"/>
      <c r="L55" s="33"/>
      <c r="M55" s="233"/>
      <c r="N55" s="233"/>
      <c r="O55" s="33"/>
      <c r="P55" s="33"/>
      <c r="Q55" s="33"/>
      <c r="R55" s="33"/>
      <c r="S55" s="33"/>
      <c r="T55" s="33"/>
      <c r="U55" s="33"/>
      <c r="V55" s="33"/>
      <c r="W55" s="33"/>
      <c r="X55" s="33"/>
      <c r="Y55" s="33"/>
      <c r="Z55" s="33"/>
      <c r="AA55" s="33"/>
      <c r="AB55" s="33"/>
      <c r="AC55" s="33"/>
      <c r="AD55" s="1"/>
      <c r="AE55" s="104"/>
      <c r="AF55" s="2"/>
    </row>
    <row r="56" spans="1:32">
      <c r="A56" s="2"/>
      <c r="B56" s="1"/>
      <c r="C56" s="113"/>
      <c r="D56" s="1"/>
      <c r="E56" s="1" t="s">
        <v>238</v>
      </c>
      <c r="F56" s="1"/>
      <c r="G56" s="1"/>
      <c r="H56" s="33"/>
      <c r="I56" s="33"/>
      <c r="J56" s="33"/>
      <c r="K56" s="33"/>
      <c r="L56" s="33"/>
      <c r="M56" s="233"/>
      <c r="N56" s="233"/>
      <c r="O56" s="33"/>
      <c r="P56" s="33"/>
      <c r="Q56" s="33"/>
      <c r="R56" s="33"/>
      <c r="S56" s="33"/>
      <c r="T56" s="33"/>
      <c r="U56" s="33"/>
      <c r="V56" s="33"/>
      <c r="W56" s="33"/>
      <c r="X56" s="33"/>
      <c r="Y56" s="33"/>
      <c r="Z56" s="33"/>
      <c r="AA56" s="33"/>
      <c r="AB56" s="33"/>
      <c r="AC56" s="33"/>
      <c r="AD56" s="33"/>
      <c r="AE56" s="104"/>
      <c r="AF56" s="2"/>
    </row>
    <row r="57" spans="1:32">
      <c r="A57" s="2"/>
      <c r="B57" s="1"/>
      <c r="C57" s="113"/>
      <c r="D57" s="1"/>
      <c r="E57" s="1" t="s">
        <v>239</v>
      </c>
      <c r="F57" s="1"/>
      <c r="G57" s="1"/>
      <c r="H57" s="1"/>
      <c r="I57" s="1"/>
      <c r="J57" s="1"/>
      <c r="K57" s="1"/>
      <c r="L57" s="1"/>
      <c r="M57" s="77"/>
      <c r="N57" s="77"/>
      <c r="O57" s="1"/>
      <c r="P57" s="1"/>
      <c r="Q57" s="33"/>
      <c r="R57" s="33"/>
      <c r="S57" s="33"/>
      <c r="T57" s="33"/>
      <c r="U57" s="33"/>
      <c r="V57" s="33"/>
      <c r="W57" s="1"/>
      <c r="X57" s="33"/>
      <c r="Y57" s="33"/>
      <c r="Z57" s="33"/>
      <c r="AA57" s="33"/>
      <c r="AB57" s="33"/>
      <c r="AC57" s="33"/>
      <c r="AD57" s="1"/>
      <c r="AE57" s="104"/>
      <c r="AF57" s="2"/>
    </row>
    <row r="58" spans="1:32">
      <c r="A58" s="2"/>
      <c r="B58" s="233"/>
      <c r="C58" s="233"/>
      <c r="D58" s="233"/>
      <c r="E58" s="243" t="s">
        <v>240</v>
      </c>
      <c r="F58" s="233"/>
      <c r="G58" s="233"/>
      <c r="H58" s="233"/>
      <c r="I58" s="1"/>
      <c r="J58" s="1"/>
      <c r="K58" s="1"/>
      <c r="L58" s="1"/>
      <c r="M58" s="1"/>
      <c r="N58" s="1"/>
      <c r="O58" s="1"/>
      <c r="P58" s="1"/>
      <c r="Q58" s="1"/>
      <c r="R58" s="1"/>
      <c r="S58" s="1"/>
      <c r="T58" s="1"/>
      <c r="U58" s="33"/>
      <c r="V58" s="33"/>
      <c r="W58" s="108"/>
      <c r="X58" s="33"/>
      <c r="Y58" s="245"/>
      <c r="Z58" s="245"/>
      <c r="AA58" s="245"/>
      <c r="AB58" s="245"/>
      <c r="AC58" s="245"/>
      <c r="AD58" s="245"/>
      <c r="AE58" s="245"/>
      <c r="AF58" s="2"/>
    </row>
    <row r="59" spans="1:32">
      <c r="A59" s="2"/>
      <c r="B59" s="1"/>
      <c r="C59" s="78"/>
      <c r="D59" s="78"/>
      <c r="E59" s="78" t="s">
        <v>241</v>
      </c>
      <c r="F59" s="78"/>
      <c r="G59" s="78"/>
      <c r="H59" s="78"/>
      <c r="I59" s="78"/>
      <c r="J59" s="78"/>
      <c r="K59" s="78"/>
      <c r="L59" s="78"/>
      <c r="M59" s="78"/>
      <c r="N59" s="78"/>
      <c r="O59" s="78"/>
      <c r="P59" s="1"/>
      <c r="Q59" s="1"/>
      <c r="R59" s="1"/>
      <c r="S59" s="1"/>
      <c r="T59" s="1"/>
      <c r="U59" s="33"/>
      <c r="V59" s="33"/>
      <c r="W59" s="108"/>
      <c r="X59" s="33"/>
      <c r="Y59" s="1"/>
      <c r="Z59" s="1"/>
      <c r="AA59" s="1"/>
      <c r="AB59" s="1"/>
      <c r="AC59" s="1"/>
      <c r="AD59" s="1"/>
      <c r="AE59" s="104"/>
      <c r="AF59" s="2"/>
    </row>
    <row r="60" spans="1:32">
      <c r="A60" s="2"/>
      <c r="B60" s="1"/>
      <c r="C60" s="78"/>
      <c r="D60" s="78"/>
      <c r="E60" s="78" t="s">
        <v>242</v>
      </c>
      <c r="F60" s="78"/>
      <c r="G60" s="78"/>
      <c r="H60" s="78"/>
      <c r="I60" s="78"/>
      <c r="J60" s="78"/>
      <c r="K60" s="78"/>
      <c r="L60" s="78"/>
      <c r="M60" s="78"/>
      <c r="N60" s="78"/>
      <c r="O60" s="78"/>
      <c r="P60" s="1"/>
      <c r="Q60" s="1"/>
      <c r="R60" s="1"/>
      <c r="S60" s="1"/>
      <c r="T60" s="1"/>
      <c r="U60" s="1"/>
      <c r="V60" s="1"/>
      <c r="W60" s="108"/>
      <c r="X60" s="1"/>
      <c r="Y60" s="1"/>
      <c r="Z60" s="1"/>
      <c r="AA60" s="1"/>
      <c r="AB60" s="1"/>
      <c r="AC60" s="1"/>
      <c r="AD60" s="1"/>
      <c r="AE60" s="104"/>
      <c r="AF60" s="2"/>
    </row>
    <row r="61" spans="1:32">
      <c r="A61" s="117"/>
      <c r="B61" s="1"/>
      <c r="C61" s="78"/>
      <c r="D61" s="78"/>
      <c r="E61" s="78"/>
      <c r="F61" s="78"/>
      <c r="G61" s="78"/>
      <c r="H61" s="78"/>
      <c r="I61" s="78"/>
      <c r="J61" s="78"/>
      <c r="K61" s="78"/>
      <c r="L61" s="78"/>
      <c r="M61" s="78"/>
      <c r="N61" s="78"/>
      <c r="O61" s="78"/>
      <c r="P61" s="1"/>
      <c r="Q61" s="1"/>
      <c r="R61" s="1"/>
      <c r="S61" s="1"/>
      <c r="T61" s="1"/>
      <c r="U61" s="1"/>
      <c r="V61" s="1"/>
      <c r="W61" s="108"/>
      <c r="X61" s="1"/>
      <c r="Y61" s="1"/>
      <c r="Z61" s="1"/>
      <c r="AA61" s="1"/>
      <c r="AB61" s="1"/>
      <c r="AC61" s="1"/>
      <c r="AD61" s="1"/>
      <c r="AE61" s="104"/>
      <c r="AF61" s="2"/>
    </row>
    <row r="62" spans="1:32">
      <c r="A62" s="117"/>
      <c r="B62" s="1"/>
      <c r="C62" s="78"/>
      <c r="D62" s="78"/>
      <c r="E62" s="78"/>
      <c r="F62" s="78"/>
      <c r="G62" s="78"/>
      <c r="H62" s="78"/>
      <c r="I62" s="78"/>
      <c r="J62" s="78"/>
      <c r="K62" s="78"/>
      <c r="L62" s="78"/>
      <c r="M62" s="78"/>
      <c r="N62" s="78"/>
      <c r="O62" s="78"/>
      <c r="P62" s="78"/>
      <c r="Q62" s="78"/>
      <c r="R62" s="1"/>
      <c r="S62" s="1"/>
      <c r="T62" s="1"/>
      <c r="U62" s="1"/>
      <c r="V62" s="1"/>
      <c r="W62" s="108"/>
      <c r="X62" s="1"/>
      <c r="Y62" s="1"/>
      <c r="Z62" s="1"/>
      <c r="AA62" s="1"/>
      <c r="AB62" s="1"/>
      <c r="AC62" s="1"/>
      <c r="AD62" s="1"/>
      <c r="AE62" s="1"/>
      <c r="AF62" s="2"/>
    </row>
    <row r="63" spans="1:32" ht="3.95" customHeight="1">
      <c r="A63" s="117"/>
      <c r="B63" s="1"/>
      <c r="C63" s="78"/>
      <c r="D63" s="78"/>
      <c r="E63" s="78"/>
      <c r="F63" s="78"/>
      <c r="G63" s="78"/>
      <c r="H63" s="78"/>
      <c r="I63" s="78"/>
      <c r="J63" s="33"/>
      <c r="K63" s="33"/>
      <c r="L63" s="33"/>
      <c r="M63" s="1"/>
      <c r="N63" s="33"/>
      <c r="O63" s="33"/>
      <c r="P63" s="1"/>
      <c r="Q63" s="1"/>
      <c r="R63" s="1"/>
      <c r="S63" s="1"/>
      <c r="T63" s="1"/>
      <c r="U63" s="1"/>
      <c r="V63" s="1"/>
      <c r="W63" s="1"/>
      <c r="X63" s="1"/>
      <c r="Y63" s="1"/>
      <c r="Z63" s="1"/>
      <c r="AA63" s="1"/>
      <c r="AB63" s="1"/>
      <c r="AC63" s="1"/>
      <c r="AD63" s="1"/>
      <c r="AE63" s="1"/>
      <c r="AF63" s="2"/>
    </row>
    <row r="64" spans="1:32">
      <c r="A64" s="117"/>
      <c r="B64" s="60" t="s">
        <v>172</v>
      </c>
      <c r="C64" s="60"/>
      <c r="D64" s="60"/>
      <c r="E64" s="60"/>
      <c r="F64" s="396">
        <f ca="1">TODAY()</f>
        <v>45483</v>
      </c>
      <c r="G64" s="396"/>
      <c r="H64" s="396"/>
      <c r="I64" s="396"/>
      <c r="J64" s="396"/>
      <c r="K64" s="396"/>
      <c r="L64" s="396"/>
      <c r="M64" s="2"/>
      <c r="N64" s="2"/>
      <c r="O64" s="2"/>
      <c r="P64" s="2"/>
      <c r="Q64" s="2"/>
      <c r="R64" s="2"/>
      <c r="S64" s="2"/>
      <c r="T64" s="2"/>
      <c r="U64" s="2"/>
      <c r="V64" s="2"/>
      <c r="W64" s="2"/>
      <c r="X64" s="2"/>
      <c r="Y64" s="2"/>
      <c r="Z64" s="61"/>
      <c r="AA64" s="61"/>
      <c r="AB64" s="61"/>
      <c r="AC64" s="61"/>
      <c r="AD64" s="2"/>
      <c r="AE64" s="151" t="s">
        <v>173</v>
      </c>
      <c r="AF64" s="2"/>
    </row>
  </sheetData>
  <sheetProtection password="E8DD" sheet="1" objects="1" scenarios="1"/>
  <mergeCells count="18">
    <mergeCell ref="F64:L64"/>
    <mergeCell ref="E19:AA19"/>
    <mergeCell ref="H23:K23"/>
    <mergeCell ref="L23:O23"/>
    <mergeCell ref="P28:S28"/>
    <mergeCell ref="G35:K35"/>
    <mergeCell ref="H38:L38"/>
    <mergeCell ref="Q38:V38"/>
    <mergeCell ref="E28:O28"/>
    <mergeCell ref="U28:W28"/>
    <mergeCell ref="U2:W2"/>
    <mergeCell ref="X2:AE2"/>
    <mergeCell ref="U3:W3"/>
    <mergeCell ref="U4:W4"/>
    <mergeCell ref="AA23:AD23"/>
    <mergeCell ref="E10:AC16"/>
    <mergeCell ref="Q21:W21"/>
    <mergeCell ref="L21:P21"/>
  </mergeCells>
  <printOptions horizontalCentered="1" verticalCentered="1"/>
  <pageMargins left="0" right="0" top="0" bottom="0"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9</vt:i4>
      </vt:variant>
    </vt:vector>
  </HeadingPairs>
  <TitlesOfParts>
    <vt:vector size="17" baseType="lpstr">
      <vt:lpstr>Sommaire</vt:lpstr>
      <vt:lpstr>Assurance</vt:lpstr>
      <vt:lpstr>Coordonnées</vt:lpstr>
      <vt:lpstr>Cotisation</vt:lpstr>
      <vt:lpstr>Autorisations</vt:lpstr>
      <vt:lpstr>Imprimé</vt:lpstr>
      <vt:lpstr>Admin</vt:lpstr>
      <vt:lpstr>justif CE</vt:lpstr>
      <vt:lpstr>Paramètres</vt:lpstr>
      <vt:lpstr>Tarifs</vt:lpstr>
      <vt:lpstr>Assurance!Zone_d_impression</vt:lpstr>
      <vt:lpstr>Autorisations!Zone_d_impression</vt:lpstr>
      <vt:lpstr>Coordonnées!Zone_d_impression</vt:lpstr>
      <vt:lpstr>Cotisation!Zone_d_impression</vt:lpstr>
      <vt:lpstr>Imprimé!Zone_d_impression</vt:lpstr>
      <vt:lpstr>'justif CE'!Zone_d_impression</vt:lpstr>
      <vt:lpstr>Sommaire!Zone_d_impression</vt:lpstr>
    </vt:vector>
  </TitlesOfParts>
  <Company>Club Herblinois Escrime</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Fiche d'Adhésion Electronique</dc:title>
  <dc:creator>Club Herblinois Escrime</dc:creator>
  <cp:lastModifiedBy>Gregoss44</cp:lastModifiedBy>
  <cp:revision/>
  <cp:lastPrinted>2021-08-11T17:30:13Z</cp:lastPrinted>
  <dcterms:created xsi:type="dcterms:W3CDTF">2011-06-02T11:11:14Z</dcterms:created>
  <dcterms:modified xsi:type="dcterms:W3CDTF">2024-07-10T17:50:15Z</dcterms:modified>
  <cp:contentStatus>Validé</cp:contentStatus>
</cp:coreProperties>
</file>